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filterPrivacy="1" defaultThemeVersion="166925"/>
  <xr:revisionPtr revIDLastSave="0" documentId="13_ncr:1_{DA4989D5-3991-B24F-8475-77555447A9DB}" xr6:coauthVersionLast="47" xr6:coauthVersionMax="47" xr10:uidLastSave="{00000000-0000-0000-0000-000000000000}"/>
  <bookViews>
    <workbookView xWindow="33600" yWindow="-100" windowWidth="38400" windowHeight="20200" xr2:uid="{1F366E83-8741-2F44-8125-2D9DAC68851B}"/>
  </bookViews>
  <sheets>
    <sheet name="サポートスパンの計算" sheetId="2" r:id="rId1"/>
    <sheet name="サポート強度の計算" sheetId="4" r:id="rId2"/>
  </sheets>
  <definedNames>
    <definedName name="_xlnm.Print_Area" localSheetId="0">サポートスパンの計算!$B$4:$D$40</definedName>
    <definedName name="_xlnm.Print_Area" localSheetId="1">サポート強度の計算!$C$4:$G$40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  <c r="D16" i="2"/>
  <c r="D12" i="2"/>
  <c r="D11" i="2"/>
  <c r="D9" i="2"/>
  <c r="D8" i="2"/>
  <c r="C16" i="2"/>
  <c r="C12" i="2"/>
  <c r="C11" i="2"/>
  <c r="C9" i="2"/>
  <c r="C8" i="2"/>
  <c r="G18" i="4"/>
  <c r="G15" i="4"/>
  <c r="G16" i="4" s="1"/>
  <c r="G13" i="4"/>
  <c r="G12" i="4"/>
  <c r="G11" i="4"/>
  <c r="G10" i="4"/>
  <c r="G9" i="4"/>
  <c r="G8" i="4"/>
  <c r="F18" i="4"/>
  <c r="F15" i="4"/>
  <c r="F16" i="4" s="1"/>
  <c r="F19" i="4" s="1"/>
  <c r="F20" i="4" s="1"/>
  <c r="F21" i="4" s="1"/>
  <c r="F12" i="4"/>
  <c r="F11" i="4"/>
  <c r="F10" i="4"/>
  <c r="F9" i="4"/>
  <c r="F8" i="4"/>
  <c r="F13" i="4" s="1"/>
  <c r="E18" i="4"/>
  <c r="E15" i="4"/>
  <c r="E16" i="4" s="1"/>
  <c r="E23" i="4" s="1"/>
  <c r="E24" i="4" s="1"/>
  <c r="E13" i="4"/>
  <c r="E12" i="4"/>
  <c r="E11" i="4"/>
  <c r="E10" i="4"/>
  <c r="E9" i="4"/>
  <c r="E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Q56" i="4"/>
  <c r="P56" i="4"/>
  <c r="Q55" i="4"/>
  <c r="P55" i="4"/>
  <c r="Q54" i="4"/>
  <c r="P54" i="4"/>
  <c r="Q53" i="4"/>
  <c r="P53" i="4"/>
  <c r="Q52" i="4"/>
  <c r="P52" i="4"/>
  <c r="Q51" i="4"/>
  <c r="P51" i="4"/>
  <c r="I89" i="2"/>
  <c r="I88" i="2"/>
  <c r="I87" i="2"/>
  <c r="I86" i="2"/>
  <c r="I85" i="2"/>
  <c r="I84" i="2"/>
  <c r="H89" i="2"/>
  <c r="H88" i="2"/>
  <c r="H87" i="2"/>
  <c r="H86" i="2"/>
  <c r="H85" i="2"/>
  <c r="H84" i="2"/>
  <c r="C15" i="2" l="1"/>
  <c r="C17" i="2"/>
  <c r="D17" i="2"/>
  <c r="E25" i="4"/>
  <c r="E26" i="4" s="1"/>
  <c r="E27" i="4" s="1"/>
  <c r="E19" i="4"/>
  <c r="E20" i="4" s="1"/>
  <c r="E21" i="4" s="1"/>
  <c r="E29" i="4"/>
  <c r="E30" i="4" s="1"/>
  <c r="G29" i="4"/>
  <c r="G30" i="4" s="1"/>
  <c r="G19" i="4"/>
  <c r="G20" i="4" s="1"/>
  <c r="G21" i="4" s="1"/>
  <c r="G25" i="4"/>
  <c r="G26" i="4" s="1"/>
  <c r="G27" i="4" s="1"/>
  <c r="G23" i="4"/>
  <c r="G24" i="4" s="1"/>
  <c r="F22" i="4"/>
  <c r="F29" i="4"/>
  <c r="F30" i="4" s="1"/>
  <c r="F23" i="4"/>
  <c r="F24" i="4" s="1"/>
  <c r="F25" i="4"/>
  <c r="F26" i="4" s="1"/>
  <c r="F28" i="4" s="1"/>
  <c r="C18" i="2" l="1"/>
  <c r="C19" i="2" s="1"/>
  <c r="C20" i="2" s="1"/>
  <c r="D18" i="2"/>
  <c r="D19" i="2" s="1"/>
  <c r="D20" i="2" s="1"/>
  <c r="E28" i="4"/>
  <c r="E22" i="4"/>
  <c r="G28" i="4"/>
  <c r="G22" i="4"/>
  <c r="F27" i="4"/>
</calcChain>
</file>

<file path=xl/sharedStrings.xml><?xml version="1.0" encoding="utf-8"?>
<sst xmlns="http://schemas.openxmlformats.org/spreadsheetml/2006/main" count="189" uniqueCount="137">
  <si>
    <t>呼び経</t>
    <rPh sb="2" eb="3">
      <t xml:space="preserve">ケイ </t>
    </rPh>
    <phoneticPr fontId="1"/>
  </si>
  <si>
    <t>外径</t>
  </si>
  <si>
    <t>配管用ステンレス鋼管（JIS G 3459  JIS G 3468）(Sch5)</t>
    <phoneticPr fontId="1"/>
  </si>
  <si>
    <t>配管用ステンレス鋼管（JIS G 3459  JIS G 3468）(Sch10)</t>
    <phoneticPr fontId="1"/>
  </si>
  <si>
    <t>配管用ステンレス鋼管（JIS G 3459  JIS G 3468）(Sch20)</t>
    <phoneticPr fontId="1"/>
  </si>
  <si>
    <t>配管用ステンレス鋼管（JIS G 3459  JIS G 3468）(Sch40)</t>
    <phoneticPr fontId="1"/>
  </si>
  <si>
    <t>配管用炭素鋼鋼管( SGP)(JIS G 3452）</t>
    <phoneticPr fontId="1"/>
  </si>
  <si>
    <t>配管用アーク溶接炭素鋼鋼管の寸法 mm （JIS G 3457：2016）</t>
    <phoneticPr fontId="1"/>
  </si>
  <si>
    <t>硬質ポリ塩化ビニル管  PVC-U　VP</t>
    <phoneticPr fontId="1"/>
  </si>
  <si>
    <t>硬質ポリ塩化ビニル管  PVC-U　VU</t>
    <phoneticPr fontId="1"/>
  </si>
  <si>
    <t>内径(mm)</t>
    <phoneticPr fontId="1"/>
  </si>
  <si>
    <t>-</t>
  </si>
  <si>
    <t>配管材質</t>
    <rPh sb="0" eb="4">
      <t xml:space="preserve">ハイカンザイシツ </t>
    </rPh>
    <phoneticPr fontId="1"/>
  </si>
  <si>
    <t>呼び径</t>
    <rPh sb="0" eb="1">
      <t xml:space="preserve">ヨビ </t>
    </rPh>
    <rPh sb="2" eb="3">
      <t xml:space="preserve">チョッケイ </t>
    </rPh>
    <phoneticPr fontId="1"/>
  </si>
  <si>
    <t>内径(mm)</t>
    <rPh sb="0" eb="2">
      <t xml:space="preserve">ナイケイ </t>
    </rPh>
    <phoneticPr fontId="1"/>
  </si>
  <si>
    <t>配管長さ(m)</t>
    <rPh sb="0" eb="3">
      <t xml:space="preserve">ハイカンナガサ </t>
    </rPh>
    <phoneticPr fontId="1"/>
  </si>
  <si>
    <t>密度表</t>
    <rPh sb="0" eb="3">
      <t xml:space="preserve">ミツドヒョウ </t>
    </rPh>
    <phoneticPr fontId="1"/>
  </si>
  <si>
    <t>材質</t>
    <rPh sb="0" eb="2">
      <t xml:space="preserve">ザイシツ </t>
    </rPh>
    <phoneticPr fontId="1"/>
  </si>
  <si>
    <t>密度（g/cm3)</t>
    <rPh sb="0" eb="2">
      <t xml:space="preserve">ミツド </t>
    </rPh>
    <phoneticPr fontId="1"/>
  </si>
  <si>
    <t>内溶液の密度(kg/m3)</t>
    <rPh sb="0" eb="1">
      <t xml:space="preserve">ナイヨウエキノミツド </t>
    </rPh>
    <phoneticPr fontId="1"/>
  </si>
  <si>
    <t>配管重量(kg)</t>
    <rPh sb="0" eb="1">
      <t xml:space="preserve">ハイカンノオモサ </t>
    </rPh>
    <rPh sb="2" eb="4">
      <t xml:space="preserve">ジュウリョウ </t>
    </rPh>
    <phoneticPr fontId="1"/>
  </si>
  <si>
    <t>外径(mm)</t>
    <rPh sb="0" eb="1">
      <t xml:space="preserve">ソト </t>
    </rPh>
    <rPh sb="1" eb="2">
      <t xml:space="preserve">チョッケイ </t>
    </rPh>
    <phoneticPr fontId="1"/>
  </si>
  <si>
    <t>配管用ステンレス鋼管（JIS G 3459  JIS G 3468）(Sch20)</t>
    <rPh sb="0" eb="1">
      <t xml:space="preserve">エンビ </t>
    </rPh>
    <phoneticPr fontId="1"/>
  </si>
  <si>
    <t>硬質ポリ塩化ビニル管  PVC-U　VP</t>
  </si>
  <si>
    <t>配管の密度(g/cm3)</t>
    <rPh sb="0" eb="2">
      <t xml:space="preserve">ハイカンノ </t>
    </rPh>
    <rPh sb="3" eb="5">
      <t xml:space="preserve">ミツド </t>
    </rPh>
    <phoneticPr fontId="1"/>
  </si>
  <si>
    <t>ヤング率(Gpa)</t>
    <phoneticPr fontId="1"/>
  </si>
  <si>
    <t>断面二次モーメント(m4)</t>
    <rPh sb="0" eb="2">
      <t xml:space="preserve">ダンメンニジッモーメント </t>
    </rPh>
    <rPh sb="2" eb="4">
      <t>ニジ</t>
    </rPh>
    <phoneticPr fontId="1"/>
  </si>
  <si>
    <t>許容たわみ量(mm)</t>
    <rPh sb="0" eb="2">
      <t xml:space="preserve">キョヨウタワミリョウ </t>
    </rPh>
    <phoneticPr fontId="1"/>
  </si>
  <si>
    <t>最大サポートスパン(m)</t>
    <rPh sb="0" eb="2">
      <t xml:space="preserve">サイダイサポートスパン </t>
    </rPh>
    <phoneticPr fontId="1"/>
  </si>
  <si>
    <t>ヤング率（N/m2)</t>
    <phoneticPr fontId="1"/>
  </si>
  <si>
    <t>サポートスパンの計算</t>
    <phoneticPr fontId="1"/>
  </si>
  <si>
    <t>4.5×32</t>
    <phoneticPr fontId="1"/>
  </si>
  <si>
    <t>4.5×38</t>
    <phoneticPr fontId="1"/>
  </si>
  <si>
    <t>6.0×50</t>
    <phoneticPr fontId="1"/>
  </si>
  <si>
    <t>9.0×50</t>
    <phoneticPr fontId="1"/>
  </si>
  <si>
    <t>9.0×75</t>
    <phoneticPr fontId="1"/>
  </si>
  <si>
    <t>12.0×75</t>
    <phoneticPr fontId="1"/>
  </si>
  <si>
    <t>40×40×5</t>
    <phoneticPr fontId="1"/>
  </si>
  <si>
    <t>50×50×6</t>
    <phoneticPr fontId="1"/>
  </si>
  <si>
    <t>65×65×6</t>
    <phoneticPr fontId="1"/>
  </si>
  <si>
    <t>75×75×9</t>
    <phoneticPr fontId="1"/>
  </si>
  <si>
    <t>100×100×10</t>
    <phoneticPr fontId="1"/>
  </si>
  <si>
    <t>100×50×5</t>
    <phoneticPr fontId="1"/>
  </si>
  <si>
    <t>125×65×6</t>
    <phoneticPr fontId="1"/>
  </si>
  <si>
    <t>150×75×9</t>
    <phoneticPr fontId="1"/>
  </si>
  <si>
    <t>200×90×8</t>
    <phoneticPr fontId="1"/>
  </si>
  <si>
    <t>100×100×6</t>
    <phoneticPr fontId="1"/>
  </si>
  <si>
    <t>125×125×6.5</t>
    <phoneticPr fontId="1"/>
  </si>
  <si>
    <t>150×150×7</t>
    <phoneticPr fontId="1"/>
  </si>
  <si>
    <t>200×200×8</t>
    <phoneticPr fontId="1"/>
  </si>
  <si>
    <t>125×125×6</t>
    <phoneticPr fontId="1"/>
  </si>
  <si>
    <t>150×150×9</t>
    <phoneticPr fontId="1"/>
  </si>
  <si>
    <t>200×200×12</t>
    <phoneticPr fontId="1"/>
  </si>
  <si>
    <t>丸棒</t>
    <rPh sb="0" eb="2">
      <t xml:space="preserve">マルボウ </t>
    </rPh>
    <phoneticPr fontId="1"/>
  </si>
  <si>
    <t>平鋼</t>
    <rPh sb="1" eb="2">
      <t xml:space="preserve">ハガネ </t>
    </rPh>
    <phoneticPr fontId="1"/>
  </si>
  <si>
    <t>等辺山形鋼</t>
    <rPh sb="0" eb="5">
      <t xml:space="preserve">トウヘンヤマガタコウ </t>
    </rPh>
    <phoneticPr fontId="1"/>
  </si>
  <si>
    <t>溝形鋼</t>
    <rPh sb="0" eb="3">
      <t xml:space="preserve">ミゾガタコウ </t>
    </rPh>
    <phoneticPr fontId="1"/>
  </si>
  <si>
    <t>H形鋼</t>
    <rPh sb="1" eb="3">
      <t xml:space="preserve">カタコウ </t>
    </rPh>
    <phoneticPr fontId="1"/>
  </si>
  <si>
    <t>角形鋼管</t>
    <rPh sb="0" eb="4">
      <t xml:space="preserve">カクガタコウカン </t>
    </rPh>
    <phoneticPr fontId="1"/>
  </si>
  <si>
    <t>種類</t>
    <rPh sb="0" eb="2">
      <t xml:space="preserve">シュルイ </t>
    </rPh>
    <phoneticPr fontId="1"/>
  </si>
  <si>
    <t>寸法(mm)</t>
    <rPh sb="0" eb="2">
      <t xml:space="preserve">スンポウ </t>
    </rPh>
    <phoneticPr fontId="1"/>
  </si>
  <si>
    <t>単位質量(kg/m)</t>
    <rPh sb="0" eb="4">
      <t xml:space="preserve">タンイシツリョウ </t>
    </rPh>
    <phoneticPr fontId="1"/>
  </si>
  <si>
    <t>断面積(cm2)</t>
    <rPh sb="0" eb="3">
      <t xml:space="preserve">ダンメンセキ </t>
    </rPh>
    <phoneticPr fontId="1"/>
  </si>
  <si>
    <t>断面二次モーメント（cm4）（強軸）</t>
    <rPh sb="0" eb="4">
      <t xml:space="preserve">ダンメンニジモーメント </t>
    </rPh>
    <rPh sb="15" eb="17">
      <t xml:space="preserve">キョウジク </t>
    </rPh>
    <phoneticPr fontId="1"/>
  </si>
  <si>
    <t>断面係数(cm3)</t>
    <rPh sb="0" eb="4">
      <t xml:space="preserve">ダンメンケイスウ </t>
    </rPh>
    <phoneticPr fontId="1"/>
  </si>
  <si>
    <t>SS400</t>
    <phoneticPr fontId="1"/>
  </si>
  <si>
    <t>STK400</t>
    <phoneticPr fontId="1"/>
  </si>
  <si>
    <t>SM400</t>
    <phoneticPr fontId="1"/>
  </si>
  <si>
    <t>SMA400</t>
    <phoneticPr fontId="1"/>
  </si>
  <si>
    <t>SUS304</t>
    <phoneticPr fontId="1"/>
  </si>
  <si>
    <t>SUS316</t>
    <phoneticPr fontId="1"/>
  </si>
  <si>
    <t>F値（MPa、N/mm2)</t>
    <rPh sb="1" eb="2">
      <t xml:space="preserve">アタイ </t>
    </rPh>
    <phoneticPr fontId="1"/>
  </si>
  <si>
    <t>許容引っ張り応力度</t>
    <rPh sb="0" eb="3">
      <t xml:space="preserve">キョヨウヒッパリオウリョクド </t>
    </rPh>
    <phoneticPr fontId="1"/>
  </si>
  <si>
    <t>許容剪断応力度</t>
    <rPh sb="0" eb="2">
      <t xml:space="preserve">キョヨウセンダノウリョクド </t>
    </rPh>
    <rPh sb="2" eb="4">
      <t xml:space="preserve">センダン </t>
    </rPh>
    <rPh sb="4" eb="7">
      <t xml:space="preserve">オウリョクド </t>
    </rPh>
    <phoneticPr fontId="1"/>
  </si>
  <si>
    <t>許容曲げ応力</t>
    <rPh sb="0" eb="3">
      <t xml:space="preserve">キョヨウマゲオウリョク </t>
    </rPh>
    <phoneticPr fontId="1"/>
  </si>
  <si>
    <t>サポート強度の計算</t>
    <rPh sb="4" eb="6">
      <t xml:space="preserve">キョウド </t>
    </rPh>
    <phoneticPr fontId="1"/>
  </si>
  <si>
    <t>サポート材質</t>
    <rPh sb="4" eb="6">
      <t xml:space="preserve">ハイカンザイシツ </t>
    </rPh>
    <phoneticPr fontId="1"/>
  </si>
  <si>
    <t>丸棒：10</t>
    <phoneticPr fontId="1"/>
  </si>
  <si>
    <t>丸棒：12</t>
    <phoneticPr fontId="1"/>
  </si>
  <si>
    <t>丸棒：16</t>
    <phoneticPr fontId="1"/>
  </si>
  <si>
    <t>丸棒：20</t>
    <phoneticPr fontId="1"/>
  </si>
  <si>
    <t>丸棒：22</t>
    <phoneticPr fontId="1"/>
  </si>
  <si>
    <t>丸棒：24</t>
    <phoneticPr fontId="1"/>
  </si>
  <si>
    <t>平鋼：4.5×32</t>
    <phoneticPr fontId="1"/>
  </si>
  <si>
    <t>平鋼：4.5×38</t>
    <phoneticPr fontId="1"/>
  </si>
  <si>
    <t>平鋼：6.0×50</t>
    <phoneticPr fontId="1"/>
  </si>
  <si>
    <t>平鋼：9.0×50</t>
    <phoneticPr fontId="1"/>
  </si>
  <si>
    <t>平鋼：9.0×75</t>
    <phoneticPr fontId="1"/>
  </si>
  <si>
    <t>平鋼：12.0×75</t>
    <phoneticPr fontId="1"/>
  </si>
  <si>
    <t>等辺山形鋼：40×40×5</t>
    <phoneticPr fontId="1"/>
  </si>
  <si>
    <t>等辺山形鋼：50×50×6</t>
    <phoneticPr fontId="1"/>
  </si>
  <si>
    <t>等辺山形鋼：65×65×6</t>
    <phoneticPr fontId="1"/>
  </si>
  <si>
    <t>等辺山形鋼：75×75×9</t>
    <phoneticPr fontId="1"/>
  </si>
  <si>
    <t>等辺山形鋼：100×100×10</t>
    <phoneticPr fontId="1"/>
  </si>
  <si>
    <t>溝形鋼：100×50×5</t>
    <phoneticPr fontId="1"/>
  </si>
  <si>
    <t>溝形鋼：125×65×6</t>
    <phoneticPr fontId="1"/>
  </si>
  <si>
    <t>溝形鋼：150×75×9</t>
    <phoneticPr fontId="1"/>
  </si>
  <si>
    <t>溝形鋼：200×90×8</t>
    <phoneticPr fontId="1"/>
  </si>
  <si>
    <t>H形鋼：100×100×6</t>
    <phoneticPr fontId="1"/>
  </si>
  <si>
    <t>H形鋼：125×125×6.5</t>
    <phoneticPr fontId="1"/>
  </si>
  <si>
    <t>H形鋼：150×150×7</t>
    <phoneticPr fontId="1"/>
  </si>
  <si>
    <t>H形鋼：200×200×8</t>
    <phoneticPr fontId="1"/>
  </si>
  <si>
    <t>角形鋼管：100×100×6</t>
    <phoneticPr fontId="1"/>
  </si>
  <si>
    <t>角形鋼管：125×125×6</t>
    <phoneticPr fontId="1"/>
  </si>
  <si>
    <t>角形鋼管：150×150×9</t>
    <phoneticPr fontId="1"/>
  </si>
  <si>
    <t>角形鋼管：200×200×12</t>
    <phoneticPr fontId="1"/>
  </si>
  <si>
    <t>種類：寸法(mm)</t>
    <rPh sb="0" eb="2">
      <t xml:space="preserve">シュルイ </t>
    </rPh>
    <rPh sb="3" eb="5">
      <t xml:space="preserve">スンポウ </t>
    </rPh>
    <phoneticPr fontId="1"/>
  </si>
  <si>
    <t>サポート長さ(m)</t>
    <rPh sb="0" eb="2">
      <t xml:space="preserve">サポートナガサ </t>
    </rPh>
    <phoneticPr fontId="1"/>
  </si>
  <si>
    <t>サポート自体の重量(kg)</t>
    <phoneticPr fontId="1"/>
  </si>
  <si>
    <t>単位質量(kg)</t>
    <rPh sb="0" eb="4">
      <t xml:space="preserve">タンイシツリョウ </t>
    </rPh>
    <phoneticPr fontId="1"/>
  </si>
  <si>
    <t>サポートにかかる荷重(kg)</t>
    <phoneticPr fontId="1"/>
  </si>
  <si>
    <t>最大曲げモーメント(N-mm)</t>
    <rPh sb="0" eb="3">
      <t xml:space="preserve">サイダイマゲモーメント </t>
    </rPh>
    <phoneticPr fontId="1"/>
  </si>
  <si>
    <t>引っ張り、圧縮応力（N/mm2)</t>
    <rPh sb="0" eb="1">
      <t xml:space="preserve">ヒッパリ </t>
    </rPh>
    <rPh sb="5" eb="9">
      <t xml:space="preserve">アッシュクオウリョク </t>
    </rPh>
    <phoneticPr fontId="1"/>
  </si>
  <si>
    <t>引っ張り許容応力度（N/mm2)</t>
    <rPh sb="0" eb="1">
      <t xml:space="preserve">ヒッパリキョヨウオウリョクド </t>
    </rPh>
    <phoneticPr fontId="1"/>
  </si>
  <si>
    <t>引っ張り許容応力の判定</t>
    <rPh sb="0" eb="4">
      <t xml:space="preserve">ヒッパリキョヨウオウリョクノハンテイ </t>
    </rPh>
    <phoneticPr fontId="1"/>
  </si>
  <si>
    <t>曲げの許容応力度(N/mm2)</t>
    <rPh sb="0" eb="1">
      <t xml:space="preserve">マゲノ </t>
    </rPh>
    <rPh sb="3" eb="8">
      <t xml:space="preserve">キョヨウオウリョクド </t>
    </rPh>
    <phoneticPr fontId="1"/>
  </si>
  <si>
    <t>ヤング率(N/mm2)</t>
    <phoneticPr fontId="1"/>
  </si>
  <si>
    <t>ヤング率(N/mm2)</t>
    <rPh sb="3" eb="4">
      <t xml:space="preserve">リツ </t>
    </rPh>
    <phoneticPr fontId="1"/>
  </si>
  <si>
    <t>断面積(mm2)</t>
    <rPh sb="0" eb="1">
      <t xml:space="preserve">ダンメンケイスウ </t>
    </rPh>
    <rPh sb="1" eb="3">
      <t xml:space="preserve">メンセキ </t>
    </rPh>
    <phoneticPr fontId="1"/>
  </si>
  <si>
    <t>圧縮フランジの断面積(mm2)</t>
    <rPh sb="0" eb="2">
      <t xml:space="preserve">アッシュクフランジノダンメンセキ </t>
    </rPh>
    <phoneticPr fontId="1"/>
  </si>
  <si>
    <t>圧縮フランジの断面積(mm2)</t>
    <rPh sb="0" eb="1">
      <t xml:space="preserve">ダンメンケイスウ </t>
    </rPh>
    <rPh sb="1" eb="3">
      <t xml:space="preserve">メンセキ </t>
    </rPh>
    <phoneticPr fontId="1"/>
  </si>
  <si>
    <t>ウェブの高さ(mm)</t>
    <phoneticPr fontId="1"/>
  </si>
  <si>
    <t>断面係数(mm3)</t>
    <phoneticPr fontId="1"/>
  </si>
  <si>
    <t>曲げ許容応力の判定</t>
    <rPh sb="0" eb="1">
      <t xml:space="preserve">マゲ </t>
    </rPh>
    <phoneticPr fontId="1"/>
  </si>
  <si>
    <t>最大たわみ(mm)</t>
    <rPh sb="0" eb="1">
      <t xml:space="preserve">サイダイタワミ </t>
    </rPh>
    <phoneticPr fontId="1"/>
  </si>
  <si>
    <t>たわみ量での判定</t>
    <phoneticPr fontId="1"/>
  </si>
  <si>
    <t>片持ち梁</t>
    <rPh sb="0" eb="2">
      <t xml:space="preserve">カタモチハリ </t>
    </rPh>
    <phoneticPr fontId="1"/>
  </si>
  <si>
    <t>両端支持梁</t>
    <rPh sb="0" eb="2">
      <t xml:space="preserve">リョウタン </t>
    </rPh>
    <rPh sb="2" eb="4">
      <t xml:space="preserve">シジ </t>
    </rPh>
    <rPh sb="4" eb="5">
      <t xml:space="preserve">ハリ </t>
    </rPh>
    <phoneticPr fontId="1"/>
  </si>
  <si>
    <t>サポートNo.</t>
    <phoneticPr fontId="1"/>
  </si>
  <si>
    <t>入力は白セルのみにしてください</t>
    <rPh sb="0" eb="2">
      <t xml:space="preserve">ニュウリョクハ </t>
    </rPh>
    <rPh sb="3" eb="4">
      <t xml:space="preserve">シロ </t>
    </rPh>
    <phoneticPr fontId="1"/>
  </si>
  <si>
    <t>片持ち梁、両端支持梁共に最も厳しい条件で算出しています。</t>
    <rPh sb="0" eb="2">
      <t xml:space="preserve">カタモチ </t>
    </rPh>
    <rPh sb="3" eb="4">
      <t xml:space="preserve">ハリ </t>
    </rPh>
    <rPh sb="5" eb="10">
      <t xml:space="preserve">リョウタンシジハリ </t>
    </rPh>
    <rPh sb="10" eb="11">
      <t xml:space="preserve">トモニ </t>
    </rPh>
    <rPh sb="12" eb="13">
      <t xml:space="preserve">モットモキビシイジョウケンデサンシュツシテイマス </t>
    </rPh>
    <phoneticPr fontId="1"/>
  </si>
  <si>
    <t>備考</t>
    <rPh sb="0" eb="2">
      <t xml:space="preserve">ビコウ </t>
    </rPh>
    <phoneticPr fontId="1"/>
  </si>
  <si>
    <t>配管No.</t>
    <rPh sb="0" eb="2">
      <t xml:space="preserve">ハイカン </t>
    </rPh>
    <phoneticPr fontId="1"/>
  </si>
  <si>
    <t>たわみ量(m)</t>
    <phoneticPr fontId="1"/>
  </si>
  <si>
    <t>たわみ量(mm)</t>
    <rPh sb="3" eb="4">
      <t xml:space="preserve">リョウ </t>
    </rPh>
    <phoneticPr fontId="1"/>
  </si>
  <si>
    <t>入力は白色セルのみにしてください。</t>
    <rPh sb="0" eb="2">
      <t xml:space="preserve">ニュウリョクハ </t>
    </rPh>
    <rPh sb="3" eb="5">
      <t xml:space="preserve">シロイロセルノミニシテクダサイ </t>
    </rPh>
    <phoneticPr fontId="1"/>
  </si>
  <si>
    <t>付帯機器の重量(kg)</t>
    <rPh sb="0" eb="4">
      <t xml:space="preserve">フタイキキノジュウリョウ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</si>
</sst>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iragino Kaku Gothic ProN"/>
      <charset val="128"/>
    </font>
    <font>
      <sz val="12"/>
      <color theme="1"/>
      <name val="ＭＳ Ｐゴシック"/>
      <family val="2"/>
      <charset val="128"/>
    </font>
    <font>
      <sz val="11"/>
      <color rgb="FF000000"/>
      <name val="Hiragino Kaku Gothic ProN"/>
      <charset val="128"/>
    </font>
    <font>
      <sz val="12"/>
      <color theme="1"/>
      <name val="Hiragino Kaku Gothic ProN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4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0" fontId="7" fillId="0" borderId="16" xfId="0" applyFont="1" applyBorder="1">
      <alignment vertical="center"/>
    </xf>
    <xf numFmtId="0" fontId="7" fillId="2" borderId="16" xfId="0" applyFont="1" applyFill="1" applyBorder="1" applyAlignment="1">
      <alignment horizontal="right" vertical="center"/>
    </xf>
    <xf numFmtId="0" fontId="7" fillId="0" borderId="17" xfId="0" applyFont="1" applyBorder="1">
      <alignment vertical="center"/>
    </xf>
    <xf numFmtId="0" fontId="7" fillId="2" borderId="17" xfId="0" applyFont="1" applyFill="1" applyBorder="1" applyAlignment="1">
      <alignment horizontal="right" vertical="center"/>
    </xf>
    <xf numFmtId="0" fontId="7" fillId="0" borderId="17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7" fillId="2" borderId="18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10" fillId="0" borderId="1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7" fillId="3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0" fillId="0" borderId="2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6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9B0AC-35C4-F043-9DB5-D703E2ED0F67}">
  <dimension ref="B4:O89"/>
  <sheetViews>
    <sheetView tabSelected="1" view="pageBreakPreview" zoomScaleNormal="100" zoomScaleSheetLayoutView="100" workbookViewId="0">
      <selection activeCell="B2" sqref="B2"/>
    </sheetView>
  </sheetViews>
  <sheetFormatPr baseColWidth="10" defaultRowHeight="20"/>
  <cols>
    <col min="2" max="2" width="18.28515625" bestFit="1" customWidth="1"/>
    <col min="3" max="4" width="25.140625" bestFit="1" customWidth="1"/>
    <col min="6" max="6" width="55.28515625" bestFit="1" customWidth="1"/>
    <col min="7" max="7" width="19.28515625" bestFit="1" customWidth="1"/>
    <col min="8" max="8" width="45" bestFit="1" customWidth="1"/>
    <col min="9" max="9" width="46.140625" bestFit="1" customWidth="1"/>
    <col min="10" max="10" width="50.5703125" bestFit="1" customWidth="1"/>
    <col min="11" max="11" width="46.140625" bestFit="1" customWidth="1"/>
    <col min="12" max="12" width="31.85546875" bestFit="1" customWidth="1"/>
    <col min="13" max="13" width="50.5703125" bestFit="1" customWidth="1"/>
    <col min="14" max="15" width="29.7109375" bestFit="1" customWidth="1"/>
  </cols>
  <sheetData>
    <row r="4" spans="2:15" ht="32" thickBot="1">
      <c r="B4" s="46" t="s">
        <v>30</v>
      </c>
      <c r="C4" s="46"/>
      <c r="D4" s="46"/>
      <c r="F4" t="s">
        <v>135</v>
      </c>
    </row>
    <row r="5" spans="2:15" ht="22" thickTop="1" thickBot="1">
      <c r="B5" s="38" t="s">
        <v>132</v>
      </c>
      <c r="C5" s="38"/>
      <c r="D5" s="38"/>
    </row>
    <row r="6" spans="2:15">
      <c r="B6" s="34" t="s">
        <v>12</v>
      </c>
      <c r="C6" s="37"/>
      <c r="D6" s="37"/>
      <c r="F6" s="41" t="s">
        <v>0</v>
      </c>
      <c r="G6" s="43" t="s">
        <v>1</v>
      </c>
      <c r="H6" s="3" t="s">
        <v>2</v>
      </c>
      <c r="I6" s="3" t="s">
        <v>3</v>
      </c>
      <c r="J6" s="4" t="s">
        <v>4</v>
      </c>
      <c r="K6" s="3" t="s">
        <v>5</v>
      </c>
      <c r="L6" s="5" t="s">
        <v>6</v>
      </c>
      <c r="M6" s="3" t="s">
        <v>7</v>
      </c>
      <c r="N6" s="3" t="s">
        <v>8</v>
      </c>
      <c r="O6" s="6" t="s">
        <v>9</v>
      </c>
    </row>
    <row r="7" spans="2:15">
      <c r="B7" s="34" t="s">
        <v>13</v>
      </c>
      <c r="C7" s="34"/>
      <c r="D7" s="34"/>
      <c r="F7" s="42"/>
      <c r="G7" s="44"/>
      <c r="H7" s="7" t="s">
        <v>10</v>
      </c>
      <c r="I7" s="7" t="s">
        <v>10</v>
      </c>
      <c r="J7" s="7" t="s">
        <v>10</v>
      </c>
      <c r="K7" s="7" t="s">
        <v>10</v>
      </c>
      <c r="L7" s="7" t="s">
        <v>10</v>
      </c>
      <c r="M7" s="7" t="s">
        <v>10</v>
      </c>
      <c r="N7" s="7" t="s">
        <v>10</v>
      </c>
      <c r="O7" s="8" t="s">
        <v>10</v>
      </c>
    </row>
    <row r="8" spans="2:15">
      <c r="B8" s="34" t="s">
        <v>21</v>
      </c>
      <c r="C8" s="35" t="str">
        <f>IFERROR(VLOOKUP(C7,$F$8:$G$38,2,FALSE),"")</f>
        <v/>
      </c>
      <c r="D8" s="35" t="str">
        <f>IFERROR(VLOOKUP(D7,$F$8:$G$38,2,FALSE),"")</f>
        <v/>
      </c>
      <c r="F8" s="9">
        <v>6</v>
      </c>
      <c r="G8" s="10">
        <v>10.5</v>
      </c>
      <c r="H8" s="10">
        <v>8.5</v>
      </c>
      <c r="I8" s="10">
        <v>8.1</v>
      </c>
      <c r="J8" s="10">
        <v>7.5</v>
      </c>
      <c r="K8" s="10">
        <v>7.1</v>
      </c>
      <c r="L8" s="10">
        <v>6.5</v>
      </c>
      <c r="M8" s="1"/>
      <c r="N8" s="1"/>
      <c r="O8" s="11"/>
    </row>
    <row r="9" spans="2:15">
      <c r="B9" s="34" t="s">
        <v>14</v>
      </c>
      <c r="C9" s="35" t="str">
        <f>IFERROR(INDEX($H$8:$O$38,MATCH(C7,$F$8:$F$38,0),MATCH(C6,$H$6:$O$6,0)),"")</f>
        <v/>
      </c>
      <c r="D9" s="35" t="str">
        <f>IFERROR(INDEX($H$8:$O$38,MATCH(D7,$F$8:$F$38,0),MATCH(D6,$H$6:$O$6,0)),"")</f>
        <v/>
      </c>
      <c r="F9" s="9">
        <v>8</v>
      </c>
      <c r="G9" s="10">
        <v>13.8</v>
      </c>
      <c r="H9" s="10">
        <v>11.4</v>
      </c>
      <c r="I9" s="10">
        <v>10.5</v>
      </c>
      <c r="J9" s="10">
        <v>9.8000000000000007</v>
      </c>
      <c r="K9" s="10">
        <v>9.4</v>
      </c>
      <c r="L9" s="10">
        <v>9.1999999999999993</v>
      </c>
      <c r="M9" s="1"/>
      <c r="N9" s="1"/>
      <c r="O9" s="11"/>
    </row>
    <row r="10" spans="2:15">
      <c r="B10" s="34" t="s">
        <v>15</v>
      </c>
      <c r="C10" s="34"/>
      <c r="D10" s="34"/>
      <c r="F10" s="9">
        <v>10</v>
      </c>
      <c r="G10" s="10">
        <v>17.3</v>
      </c>
      <c r="H10" s="10">
        <v>14.9</v>
      </c>
      <c r="I10" s="10">
        <v>14</v>
      </c>
      <c r="J10" s="10">
        <v>13.3</v>
      </c>
      <c r="K10" s="10">
        <v>12.7</v>
      </c>
      <c r="L10" s="10">
        <v>12.7</v>
      </c>
      <c r="M10" s="1"/>
      <c r="N10" s="10">
        <v>13</v>
      </c>
      <c r="O10" s="11"/>
    </row>
    <row r="11" spans="2:15">
      <c r="B11" s="34" t="s">
        <v>27</v>
      </c>
      <c r="C11" s="35">
        <f>IFERROR(IF(((C10*1000)/500)&gt;2,2,((C10*1000)/500)),"")</f>
        <v>0</v>
      </c>
      <c r="D11" s="35">
        <f>IFERROR(IF(((D10*1000)/500)&gt;2,2,((D10*1000)/500)),"")</f>
        <v>0</v>
      </c>
      <c r="F11" s="9">
        <v>15</v>
      </c>
      <c r="G11" s="10">
        <v>21.7</v>
      </c>
      <c r="H11" s="10">
        <v>18.399999999999999</v>
      </c>
      <c r="I11" s="10">
        <v>17.5</v>
      </c>
      <c r="J11" s="10">
        <v>16.7</v>
      </c>
      <c r="K11" s="10">
        <v>16.100000000000001</v>
      </c>
      <c r="L11" s="10">
        <v>16.100000000000001</v>
      </c>
      <c r="M11" s="1"/>
      <c r="N11" s="10">
        <v>16</v>
      </c>
      <c r="O11" s="11"/>
    </row>
    <row r="12" spans="2:15">
      <c r="B12" s="34" t="s">
        <v>24</v>
      </c>
      <c r="C12" s="35" t="str">
        <f>IFERROR(VLOOKUP(C6,$F$42:$G$49,2,FALSE),"")</f>
        <v/>
      </c>
      <c r="D12" s="35" t="str">
        <f>IFERROR(VLOOKUP(D6,$F$42:$G$49,2,FALSE),"")</f>
        <v/>
      </c>
      <c r="F12" s="9">
        <v>20</v>
      </c>
      <c r="G12" s="10">
        <v>27.2</v>
      </c>
      <c r="H12" s="10">
        <v>23.9</v>
      </c>
      <c r="I12" s="10">
        <v>23</v>
      </c>
      <c r="J12" s="10">
        <v>22.2</v>
      </c>
      <c r="K12" s="10">
        <v>21.4</v>
      </c>
      <c r="L12" s="10">
        <v>21.6</v>
      </c>
      <c r="M12" s="1"/>
      <c r="N12" s="10">
        <v>20</v>
      </c>
      <c r="O12" s="11"/>
    </row>
    <row r="13" spans="2:15">
      <c r="B13" s="34" t="s">
        <v>19</v>
      </c>
      <c r="C13" s="34"/>
      <c r="D13" s="34"/>
      <c r="F13" s="9">
        <v>25</v>
      </c>
      <c r="G13" s="10">
        <v>34</v>
      </c>
      <c r="H13" s="10">
        <v>30.7</v>
      </c>
      <c r="I13" s="10">
        <v>28.4</v>
      </c>
      <c r="J13" s="10">
        <v>28</v>
      </c>
      <c r="K13" s="10">
        <v>27.2</v>
      </c>
      <c r="L13" s="10">
        <v>27.6</v>
      </c>
      <c r="M13" s="1"/>
      <c r="N13" s="10">
        <v>25</v>
      </c>
      <c r="O13" s="11"/>
    </row>
    <row r="14" spans="2:15">
      <c r="B14" s="34" t="s">
        <v>136</v>
      </c>
      <c r="C14" s="39"/>
      <c r="D14" s="39"/>
      <c r="F14" s="9">
        <v>32</v>
      </c>
      <c r="G14" s="10">
        <v>42.7</v>
      </c>
      <c r="H14" s="10">
        <v>39.4</v>
      </c>
      <c r="I14" s="10">
        <v>37.1</v>
      </c>
      <c r="J14" s="10">
        <v>36.700000000000003</v>
      </c>
      <c r="K14" s="10">
        <v>35.5</v>
      </c>
      <c r="L14" s="10">
        <v>35.700000000000003</v>
      </c>
      <c r="M14" s="1"/>
      <c r="N14" s="10">
        <v>31</v>
      </c>
      <c r="O14" s="11"/>
    </row>
    <row r="15" spans="2:15">
      <c r="B15" s="34" t="s">
        <v>20</v>
      </c>
      <c r="C15" s="35" t="str">
        <f>IFERROR(ROUNDUP(((((PI()/4)*C8^2)*(C10*1000))-(((PI()/4)*C9^2)*(C10*1000)))*(C12/1000000)+((((PI()/4)*C9^2)*(C10*1000))*(C13/1000000000))+C14,1),"")</f>
        <v/>
      </c>
      <c r="D15" s="35" t="str">
        <f>IFERROR(ROUNDUP(((((PI()/4)*D8^2)*(D10*1000))-(((PI()/4)*D9^2)*(D10*1000)))*(D12/1000000)+((((PI()/4)*D9^2)*(D10*1000))*(D13/1000000000))+D14,1),"")</f>
        <v/>
      </c>
      <c r="F15" s="9">
        <v>40</v>
      </c>
      <c r="G15" s="10">
        <v>48.6</v>
      </c>
      <c r="H15" s="10">
        <v>45.3</v>
      </c>
      <c r="I15" s="10">
        <v>43</v>
      </c>
      <c r="J15" s="10">
        <v>42.6</v>
      </c>
      <c r="K15" s="10">
        <v>41.2</v>
      </c>
      <c r="L15" s="10">
        <v>41.6</v>
      </c>
      <c r="M15" s="1"/>
      <c r="N15" s="10">
        <v>40</v>
      </c>
      <c r="O15" s="12">
        <v>44</v>
      </c>
    </row>
    <row r="16" spans="2:15">
      <c r="B16" s="34" t="s">
        <v>29</v>
      </c>
      <c r="C16" s="36" t="str">
        <f>IFERROR((VLOOKUP(C6,$F$42:$H$49,3,FALSE))*1000000000,"")</f>
        <v/>
      </c>
      <c r="D16" s="36" t="str">
        <f>IFERROR((VLOOKUP(D6,$F$42:$H$49,3,FALSE))*1000000000,"")</f>
        <v/>
      </c>
      <c r="F16" s="9">
        <v>50</v>
      </c>
      <c r="G16" s="10">
        <v>60.5</v>
      </c>
      <c r="H16" s="10">
        <v>57.2</v>
      </c>
      <c r="I16" s="10">
        <v>54.9</v>
      </c>
      <c r="J16" s="10">
        <v>53.5</v>
      </c>
      <c r="K16" s="10">
        <v>52.7</v>
      </c>
      <c r="L16" s="10">
        <v>52.9</v>
      </c>
      <c r="M16" s="1"/>
      <c r="N16" s="10">
        <v>51</v>
      </c>
      <c r="O16" s="12">
        <v>56</v>
      </c>
    </row>
    <row r="17" spans="2:15">
      <c r="B17" s="34" t="s">
        <v>26</v>
      </c>
      <c r="C17" s="35" t="str">
        <f>IFERROR((PI()/64)*(((C8/1000)^4)-((C9/1000)^4)),"")</f>
        <v/>
      </c>
      <c r="D17" s="35" t="str">
        <f>IFERROR((PI()/64)*(((D8/1000)^4)-((D9/1000)^4)),"")</f>
        <v/>
      </c>
      <c r="F17" s="9">
        <v>65</v>
      </c>
      <c r="G17" s="10">
        <v>76.3</v>
      </c>
      <c r="H17" s="10">
        <v>72.099999999999994</v>
      </c>
      <c r="I17" s="10">
        <v>70.3</v>
      </c>
      <c r="J17" s="10">
        <v>69.3</v>
      </c>
      <c r="K17" s="10">
        <v>65.900000000000006</v>
      </c>
      <c r="L17" s="10">
        <v>67.900000000000006</v>
      </c>
      <c r="M17" s="1"/>
      <c r="N17" s="10">
        <v>67</v>
      </c>
      <c r="O17" s="12">
        <v>71</v>
      </c>
    </row>
    <row r="18" spans="2:15">
      <c r="B18" s="34" t="s">
        <v>28</v>
      </c>
      <c r="C18" s="35" t="str">
        <f>IFERROR(ROUNDDOWN(POWER(((C11/1000)*128*C16*C17)/(C15*9.8),1/4),1),"")</f>
        <v/>
      </c>
      <c r="D18" s="35" t="str">
        <f>IFERROR(ROUNDDOWN(POWER(((D11/1000)*128*D16*D17)/(D15*9.8),1/4),1),"")</f>
        <v/>
      </c>
      <c r="F18" s="9">
        <v>80</v>
      </c>
      <c r="G18" s="10">
        <v>89.1</v>
      </c>
      <c r="H18" s="10">
        <v>84.9</v>
      </c>
      <c r="I18" s="10">
        <v>83.1</v>
      </c>
      <c r="J18" s="10">
        <v>81.099999999999994</v>
      </c>
      <c r="K18" s="10">
        <v>78.099999999999994</v>
      </c>
      <c r="L18" s="10">
        <v>80.7</v>
      </c>
      <c r="M18" s="1"/>
      <c r="N18" s="10">
        <v>77</v>
      </c>
      <c r="O18" s="12">
        <v>83</v>
      </c>
    </row>
    <row r="19" spans="2:15">
      <c r="B19" s="34" t="s">
        <v>133</v>
      </c>
      <c r="C19" s="35" t="str">
        <f>IFERROR(((C15*9.8)*(C18^4))/(128*C16*C17),"")</f>
        <v/>
      </c>
      <c r="D19" s="35" t="str">
        <f>IFERROR(((D15*9.8)*(D18^4))/(128*D16*D17),"")</f>
        <v/>
      </c>
      <c r="F19" s="9">
        <v>90</v>
      </c>
      <c r="G19" s="10">
        <v>101.6</v>
      </c>
      <c r="H19" s="10">
        <v>97.4</v>
      </c>
      <c r="I19" s="10">
        <v>95.6</v>
      </c>
      <c r="J19" s="10">
        <v>93.6</v>
      </c>
      <c r="K19" s="10">
        <v>90.2</v>
      </c>
      <c r="L19" s="10">
        <v>93.2</v>
      </c>
      <c r="M19" s="1"/>
      <c r="N19" s="1"/>
      <c r="O19" s="11"/>
    </row>
    <row r="20" spans="2:15">
      <c r="B20" s="34" t="s">
        <v>134</v>
      </c>
      <c r="C20" s="35" t="str">
        <f>IFERROR(ROUNDUP(C19*1000,1),"")</f>
        <v/>
      </c>
      <c r="D20" s="35" t="str">
        <f>IFERROR(ROUNDUP(D19*1000,1),"")</f>
        <v/>
      </c>
      <c r="F20" s="9">
        <v>100</v>
      </c>
      <c r="G20" s="10">
        <v>114.3</v>
      </c>
      <c r="H20" s="10">
        <v>110.1</v>
      </c>
      <c r="I20" s="10">
        <v>108.3</v>
      </c>
      <c r="J20" s="10">
        <v>106.3</v>
      </c>
      <c r="K20" s="10">
        <v>102.3</v>
      </c>
      <c r="L20" s="10">
        <v>105.3</v>
      </c>
      <c r="M20" s="1"/>
      <c r="N20" s="10">
        <v>100</v>
      </c>
      <c r="O20" s="12">
        <v>107</v>
      </c>
    </row>
    <row r="21" spans="2:15">
      <c r="B21" s="57" t="s">
        <v>131</v>
      </c>
      <c r="C21" s="58"/>
      <c r="D21" s="59"/>
      <c r="F21" s="9">
        <v>125</v>
      </c>
      <c r="G21" s="10">
        <v>139.80000000000001</v>
      </c>
      <c r="H21" s="10">
        <v>134.19999999999999</v>
      </c>
      <c r="I21" s="10">
        <v>133</v>
      </c>
      <c r="J21" s="10">
        <v>129.80000000000001</v>
      </c>
      <c r="K21" s="10">
        <v>126.6</v>
      </c>
      <c r="L21" s="10">
        <v>130.80000000000001</v>
      </c>
      <c r="M21" s="1"/>
      <c r="N21" s="10">
        <v>125</v>
      </c>
      <c r="O21" s="12">
        <v>131</v>
      </c>
    </row>
    <row r="22" spans="2:15">
      <c r="B22" s="60"/>
      <c r="C22" s="61"/>
      <c r="D22" s="62"/>
      <c r="F22" s="9">
        <v>150</v>
      </c>
      <c r="G22" s="10">
        <v>165.2</v>
      </c>
      <c r="H22" s="10">
        <v>159.6</v>
      </c>
      <c r="I22" s="10">
        <v>158.4</v>
      </c>
      <c r="J22" s="10">
        <v>155.19999999999999</v>
      </c>
      <c r="K22" s="10">
        <v>151</v>
      </c>
      <c r="L22" s="10">
        <v>155.19999999999999</v>
      </c>
      <c r="M22" s="1"/>
      <c r="N22" s="10">
        <v>146</v>
      </c>
      <c r="O22" s="12">
        <v>154</v>
      </c>
    </row>
    <row r="23" spans="2:15">
      <c r="B23" s="60"/>
      <c r="C23" s="61"/>
      <c r="D23" s="62"/>
      <c r="F23" s="9">
        <v>200</v>
      </c>
      <c r="G23" s="10">
        <v>216.3</v>
      </c>
      <c r="H23" s="10">
        <v>210.7</v>
      </c>
      <c r="I23" s="10">
        <v>208.3</v>
      </c>
      <c r="J23" s="10">
        <v>203.3</v>
      </c>
      <c r="K23" s="10">
        <v>199.9</v>
      </c>
      <c r="L23" s="10">
        <v>204.7</v>
      </c>
      <c r="M23" s="1"/>
      <c r="N23" s="10">
        <v>194</v>
      </c>
      <c r="O23" s="12">
        <v>202</v>
      </c>
    </row>
    <row r="24" spans="2:15">
      <c r="B24" s="60"/>
      <c r="C24" s="61"/>
      <c r="D24" s="62"/>
      <c r="F24" s="9">
        <v>250</v>
      </c>
      <c r="G24" s="10">
        <v>267.39999999999998</v>
      </c>
      <c r="H24" s="10">
        <v>260.60000000000002</v>
      </c>
      <c r="I24" s="10">
        <v>259.39999999999998</v>
      </c>
      <c r="J24" s="10">
        <v>254.4</v>
      </c>
      <c r="K24" s="10">
        <v>248.8</v>
      </c>
      <c r="L24" s="10">
        <v>254.2</v>
      </c>
      <c r="M24" s="1"/>
      <c r="N24" s="10">
        <v>240</v>
      </c>
      <c r="O24" s="12">
        <v>250</v>
      </c>
    </row>
    <row r="25" spans="2:15">
      <c r="B25" s="60"/>
      <c r="C25" s="61"/>
      <c r="D25" s="62"/>
      <c r="F25" s="9">
        <v>300</v>
      </c>
      <c r="G25" s="10">
        <v>318.5</v>
      </c>
      <c r="H25" s="10">
        <v>310.5</v>
      </c>
      <c r="I25" s="10">
        <v>309.5</v>
      </c>
      <c r="J25" s="10">
        <v>305.5</v>
      </c>
      <c r="K25" s="10">
        <v>297.89999999999998</v>
      </c>
      <c r="L25" s="10">
        <v>304.7</v>
      </c>
      <c r="M25" s="1"/>
      <c r="N25" s="10">
        <v>286</v>
      </c>
      <c r="O25" s="12">
        <v>298</v>
      </c>
    </row>
    <row r="26" spans="2:15">
      <c r="B26" s="60"/>
      <c r="C26" s="61"/>
      <c r="D26" s="62"/>
      <c r="F26" s="9">
        <v>350</v>
      </c>
      <c r="G26" s="10">
        <v>355.6</v>
      </c>
      <c r="H26" s="10">
        <v>347.6</v>
      </c>
      <c r="I26" s="10">
        <v>345.6</v>
      </c>
      <c r="J26" s="10">
        <v>339.6</v>
      </c>
      <c r="K26" s="10">
        <v>333.4</v>
      </c>
      <c r="L26" s="10">
        <v>339.8</v>
      </c>
      <c r="M26" s="10">
        <v>342.8</v>
      </c>
      <c r="N26" s="1"/>
      <c r="O26" s="12">
        <v>348</v>
      </c>
    </row>
    <row r="27" spans="2:15">
      <c r="B27" s="60"/>
      <c r="C27" s="61"/>
      <c r="D27" s="62"/>
      <c r="F27" s="9">
        <v>400</v>
      </c>
      <c r="G27" s="10">
        <v>406.4</v>
      </c>
      <c r="H27" s="10">
        <v>397.4</v>
      </c>
      <c r="I27" s="10">
        <v>396.4</v>
      </c>
      <c r="J27" s="10">
        <v>390.4</v>
      </c>
      <c r="K27" s="10">
        <v>381</v>
      </c>
      <c r="L27" s="10">
        <v>390.6</v>
      </c>
      <c r="M27" s="10">
        <v>393.6</v>
      </c>
      <c r="N27" s="1"/>
      <c r="O27" s="12">
        <v>395</v>
      </c>
    </row>
    <row r="28" spans="2:15">
      <c r="B28" s="60"/>
      <c r="C28" s="61"/>
      <c r="D28" s="62"/>
      <c r="F28" s="9">
        <v>450</v>
      </c>
      <c r="G28" s="10">
        <v>457.2</v>
      </c>
      <c r="H28" s="10">
        <v>448.2</v>
      </c>
      <c r="I28" s="10">
        <v>447.2</v>
      </c>
      <c r="J28" s="10">
        <v>441.2</v>
      </c>
      <c r="K28" s="10">
        <v>428.6</v>
      </c>
      <c r="L28" s="10">
        <v>441.4</v>
      </c>
      <c r="M28" s="10">
        <v>444.4</v>
      </c>
      <c r="N28" s="1"/>
      <c r="O28" s="12">
        <v>442</v>
      </c>
    </row>
    <row r="29" spans="2:15">
      <c r="B29" s="60"/>
      <c r="C29" s="61"/>
      <c r="D29" s="62"/>
      <c r="F29" s="9">
        <v>500</v>
      </c>
      <c r="G29" s="10">
        <v>508</v>
      </c>
      <c r="H29" s="10">
        <v>498</v>
      </c>
      <c r="I29" s="10">
        <v>497</v>
      </c>
      <c r="J29" s="10">
        <v>489</v>
      </c>
      <c r="K29" s="10">
        <v>477.8</v>
      </c>
      <c r="L29" s="10">
        <v>492.2</v>
      </c>
      <c r="M29" s="10">
        <v>495.2</v>
      </c>
      <c r="N29" s="1"/>
      <c r="O29" s="12">
        <v>489</v>
      </c>
    </row>
    <row r="30" spans="2:15">
      <c r="B30" s="60"/>
      <c r="C30" s="61"/>
      <c r="D30" s="62"/>
      <c r="F30" s="9">
        <v>550</v>
      </c>
      <c r="G30" s="10">
        <v>558.79999999999995</v>
      </c>
      <c r="H30" s="10">
        <v>548.79999999999995</v>
      </c>
      <c r="I30" s="10">
        <v>547.79999999999995</v>
      </c>
      <c r="J30" s="10">
        <v>539.79999999999995</v>
      </c>
      <c r="K30" s="10">
        <v>527</v>
      </c>
      <c r="L30" s="1"/>
      <c r="M30" s="10">
        <v>546</v>
      </c>
      <c r="N30" s="1"/>
      <c r="O30" s="11"/>
    </row>
    <row r="31" spans="2:15">
      <c r="B31" s="60"/>
      <c r="C31" s="61"/>
      <c r="D31" s="62"/>
      <c r="F31" s="9">
        <v>600</v>
      </c>
      <c r="G31" s="10">
        <v>609.6</v>
      </c>
      <c r="H31" s="10">
        <v>598.6</v>
      </c>
      <c r="I31" s="10">
        <v>596.6</v>
      </c>
      <c r="J31" s="10">
        <v>590.6</v>
      </c>
      <c r="K31" s="10">
        <v>574.6</v>
      </c>
      <c r="L31" s="1"/>
      <c r="M31" s="10">
        <v>596.79999999999995</v>
      </c>
      <c r="N31" s="1"/>
      <c r="O31" s="12">
        <v>592</v>
      </c>
    </row>
    <row r="32" spans="2:15">
      <c r="B32" s="60"/>
      <c r="C32" s="61"/>
      <c r="D32" s="62"/>
      <c r="F32" s="9">
        <v>650</v>
      </c>
      <c r="G32" s="10">
        <v>660.4</v>
      </c>
      <c r="H32" s="10">
        <v>649.4</v>
      </c>
      <c r="I32" s="10">
        <v>644.4</v>
      </c>
      <c r="J32" s="10">
        <v>635</v>
      </c>
      <c r="K32" s="10">
        <v>625.4</v>
      </c>
      <c r="L32" s="1"/>
      <c r="M32" s="10">
        <v>647.6</v>
      </c>
      <c r="N32" s="1"/>
      <c r="O32" s="11"/>
    </row>
    <row r="33" spans="2:15">
      <c r="B33" s="60"/>
      <c r="C33" s="61"/>
      <c r="D33" s="62"/>
      <c r="F33" s="9">
        <v>700</v>
      </c>
      <c r="G33" s="10">
        <v>711.2</v>
      </c>
      <c r="H33" s="10">
        <v>700.2</v>
      </c>
      <c r="I33" s="10">
        <v>695.2</v>
      </c>
      <c r="J33" s="10">
        <v>685.8</v>
      </c>
      <c r="K33" s="10">
        <v>676.2</v>
      </c>
      <c r="L33" s="1"/>
      <c r="M33" s="10">
        <v>698.4</v>
      </c>
      <c r="N33" s="1"/>
      <c r="O33" s="12">
        <v>687</v>
      </c>
    </row>
    <row r="34" spans="2:15">
      <c r="B34" s="60"/>
      <c r="C34" s="61"/>
      <c r="D34" s="62"/>
      <c r="F34" s="9">
        <v>750</v>
      </c>
      <c r="G34" s="10">
        <v>762</v>
      </c>
      <c r="H34" s="10">
        <v>749</v>
      </c>
      <c r="I34" s="10">
        <v>746</v>
      </c>
      <c r="J34" s="10">
        <v>736.6</v>
      </c>
      <c r="K34" s="10">
        <v>727</v>
      </c>
      <c r="L34" s="1"/>
      <c r="M34" s="10">
        <v>749.2</v>
      </c>
      <c r="N34" s="1"/>
      <c r="O34" s="11"/>
    </row>
    <row r="35" spans="2:15">
      <c r="B35" s="60"/>
      <c r="C35" s="61"/>
      <c r="D35" s="62"/>
      <c r="F35" s="9">
        <v>800</v>
      </c>
      <c r="G35" s="10">
        <v>812.8</v>
      </c>
      <c r="H35" s="10" t="s">
        <v>11</v>
      </c>
      <c r="I35" s="10">
        <v>796.8</v>
      </c>
      <c r="J35" s="10">
        <v>787.4</v>
      </c>
      <c r="K35" s="10">
        <v>777.8</v>
      </c>
      <c r="L35" s="1"/>
      <c r="M35" s="10">
        <v>800</v>
      </c>
      <c r="N35" s="1"/>
      <c r="O35" s="12">
        <v>783</v>
      </c>
    </row>
    <row r="36" spans="2:15">
      <c r="B36" s="60"/>
      <c r="C36" s="61"/>
      <c r="D36" s="62"/>
      <c r="F36" s="9">
        <v>850</v>
      </c>
      <c r="G36" s="10">
        <v>863.6</v>
      </c>
      <c r="H36" s="10" t="s">
        <v>11</v>
      </c>
      <c r="I36" s="10">
        <v>847.6</v>
      </c>
      <c r="J36" s="10">
        <v>838.6</v>
      </c>
      <c r="K36" s="10">
        <v>828.6</v>
      </c>
      <c r="L36" s="1"/>
      <c r="M36" s="10">
        <v>846.2</v>
      </c>
      <c r="N36" s="1"/>
      <c r="O36" s="11"/>
    </row>
    <row r="37" spans="2:15">
      <c r="B37" s="60"/>
      <c r="C37" s="61"/>
      <c r="D37" s="62"/>
      <c r="F37" s="9">
        <v>900</v>
      </c>
      <c r="G37" s="10">
        <v>914.4</v>
      </c>
      <c r="H37" s="10" t="s">
        <v>11</v>
      </c>
      <c r="I37" s="10">
        <v>898.4</v>
      </c>
      <c r="J37" s="10">
        <v>889</v>
      </c>
      <c r="K37" s="10">
        <v>876.2</v>
      </c>
      <c r="L37" s="1"/>
      <c r="M37" s="10">
        <v>897</v>
      </c>
      <c r="N37" s="1"/>
      <c r="O37" s="11"/>
    </row>
    <row r="38" spans="2:15" ht="21" thickBot="1">
      <c r="B38" s="60"/>
      <c r="C38" s="61"/>
      <c r="D38" s="62"/>
      <c r="F38" s="13">
        <v>1000</v>
      </c>
      <c r="G38" s="14">
        <v>1016</v>
      </c>
      <c r="H38" s="14" t="s">
        <v>11</v>
      </c>
      <c r="I38" s="14">
        <v>997</v>
      </c>
      <c r="J38" s="14">
        <v>987.4</v>
      </c>
      <c r="K38" s="14">
        <v>963.6</v>
      </c>
      <c r="L38" s="15"/>
      <c r="M38" s="14">
        <v>998.6</v>
      </c>
      <c r="N38" s="15"/>
      <c r="O38" s="16"/>
    </row>
    <row r="39" spans="2:15">
      <c r="B39" s="60"/>
      <c r="C39" s="61"/>
      <c r="D39" s="62"/>
    </row>
    <row r="40" spans="2:15">
      <c r="B40" s="63"/>
      <c r="C40" s="64"/>
      <c r="D40" s="65"/>
      <c r="F40" s="40" t="s">
        <v>16</v>
      </c>
      <c r="G40" s="40"/>
      <c r="H40" s="1"/>
    </row>
    <row r="41" spans="2:15">
      <c r="F41" s="1" t="s">
        <v>17</v>
      </c>
      <c r="G41" s="1" t="s">
        <v>18</v>
      </c>
      <c r="H41" s="1" t="s">
        <v>25</v>
      </c>
    </row>
    <row r="42" spans="2:15">
      <c r="F42" s="1" t="s">
        <v>2</v>
      </c>
      <c r="G42" s="1">
        <v>7.93</v>
      </c>
      <c r="H42" s="1">
        <v>197</v>
      </c>
    </row>
    <row r="43" spans="2:15">
      <c r="F43" s="1" t="s">
        <v>3</v>
      </c>
      <c r="G43" s="1">
        <v>7.93</v>
      </c>
      <c r="H43" s="1">
        <v>197</v>
      </c>
    </row>
    <row r="44" spans="2:15">
      <c r="F44" s="1" t="s">
        <v>22</v>
      </c>
      <c r="G44" s="1">
        <v>7.93</v>
      </c>
      <c r="H44" s="1">
        <v>197</v>
      </c>
    </row>
    <row r="45" spans="2:15">
      <c r="F45" s="17" t="s">
        <v>5</v>
      </c>
      <c r="G45" s="1">
        <v>7.93</v>
      </c>
      <c r="H45" s="1">
        <v>197</v>
      </c>
    </row>
    <row r="46" spans="2:15">
      <c r="F46" s="17" t="s">
        <v>6</v>
      </c>
      <c r="G46" s="1">
        <v>7.85</v>
      </c>
      <c r="H46" s="1">
        <v>206</v>
      </c>
    </row>
    <row r="47" spans="2:15">
      <c r="F47" s="17" t="s">
        <v>7</v>
      </c>
      <c r="G47" s="1">
        <v>7.85</v>
      </c>
      <c r="H47" s="1">
        <v>206</v>
      </c>
    </row>
    <row r="48" spans="2:15">
      <c r="F48" s="1" t="s">
        <v>23</v>
      </c>
      <c r="G48" s="1">
        <v>1.43</v>
      </c>
      <c r="H48" s="1">
        <v>2.802</v>
      </c>
    </row>
    <row r="49" spans="6:11">
      <c r="F49" s="1" t="s">
        <v>9</v>
      </c>
      <c r="G49" s="1">
        <v>1.43</v>
      </c>
      <c r="H49" s="1">
        <v>2.802</v>
      </c>
    </row>
    <row r="52" spans="6:11" ht="21" thickBot="1">
      <c r="F52" s="2" t="s">
        <v>59</v>
      </c>
      <c r="G52" s="2" t="s">
        <v>60</v>
      </c>
      <c r="H52" s="2" t="s">
        <v>61</v>
      </c>
      <c r="I52" s="2" t="s">
        <v>62</v>
      </c>
      <c r="J52" s="2" t="s">
        <v>63</v>
      </c>
      <c r="K52" s="2" t="s">
        <v>64</v>
      </c>
    </row>
    <row r="53" spans="6:11" ht="21" thickTop="1">
      <c r="F53" s="45" t="s">
        <v>53</v>
      </c>
      <c r="G53" s="18">
        <v>10</v>
      </c>
      <c r="H53" s="18">
        <v>0.61699999999999999</v>
      </c>
      <c r="I53" s="18">
        <v>0.78539999999999999</v>
      </c>
      <c r="J53" s="18">
        <v>4.9099999999999998E-2</v>
      </c>
      <c r="K53" s="18">
        <v>9.8199999999999996E-2</v>
      </c>
    </row>
    <row r="54" spans="6:11">
      <c r="F54" s="40"/>
      <c r="G54" s="1">
        <v>12</v>
      </c>
      <c r="H54" s="1">
        <v>0.88800000000000001</v>
      </c>
      <c r="I54" s="1">
        <v>1.131</v>
      </c>
      <c r="J54" s="1">
        <v>0.1018</v>
      </c>
      <c r="K54" s="1">
        <v>0.1696</v>
      </c>
    </row>
    <row r="55" spans="6:11">
      <c r="F55" s="40"/>
      <c r="G55" s="1">
        <v>16</v>
      </c>
      <c r="H55" s="1">
        <v>1.58</v>
      </c>
      <c r="I55" s="1">
        <v>2.0110000000000001</v>
      </c>
      <c r="J55" s="1">
        <v>0.32169999999999999</v>
      </c>
      <c r="K55" s="1">
        <v>0.40210000000000001</v>
      </c>
    </row>
    <row r="56" spans="6:11">
      <c r="F56" s="40"/>
      <c r="G56" s="1">
        <v>20</v>
      </c>
      <c r="H56" s="1">
        <v>2.4700000000000002</v>
      </c>
      <c r="I56" s="1">
        <v>3.1419999999999999</v>
      </c>
      <c r="J56" s="1">
        <v>0.78539999999999999</v>
      </c>
      <c r="K56" s="1">
        <v>0.78539999999999999</v>
      </c>
    </row>
    <row r="57" spans="6:11">
      <c r="F57" s="40"/>
      <c r="G57" s="1">
        <v>22</v>
      </c>
      <c r="H57" s="1">
        <v>2.98</v>
      </c>
      <c r="I57" s="1">
        <v>3.8010000000000002</v>
      </c>
      <c r="J57" s="1">
        <v>1.1498999999999999</v>
      </c>
      <c r="K57" s="1">
        <v>1.0449999999999999</v>
      </c>
    </row>
    <row r="58" spans="6:11">
      <c r="F58" s="40"/>
      <c r="G58" s="1">
        <v>24</v>
      </c>
      <c r="H58" s="1">
        <v>3.55</v>
      </c>
      <c r="I58" s="1">
        <v>4.524</v>
      </c>
      <c r="J58" s="1">
        <v>1.6286</v>
      </c>
      <c r="K58" s="1">
        <v>1.357</v>
      </c>
    </row>
    <row r="59" spans="6:11">
      <c r="F59" s="40" t="s">
        <v>54</v>
      </c>
      <c r="G59" s="1" t="s">
        <v>31</v>
      </c>
      <c r="H59" s="1">
        <v>1.1299999999999999</v>
      </c>
      <c r="I59" s="1">
        <v>1.44</v>
      </c>
      <c r="J59" s="1">
        <v>1.23</v>
      </c>
      <c r="K59" s="1">
        <v>0.77</v>
      </c>
    </row>
    <row r="60" spans="6:11">
      <c r="F60" s="40"/>
      <c r="G60" s="1" t="s">
        <v>32</v>
      </c>
      <c r="H60" s="1">
        <v>1.34</v>
      </c>
      <c r="I60" s="1">
        <v>1.71</v>
      </c>
      <c r="J60" s="1">
        <v>2.06</v>
      </c>
      <c r="K60" s="1">
        <v>1.08</v>
      </c>
    </row>
    <row r="61" spans="6:11">
      <c r="F61" s="40"/>
      <c r="G61" s="1" t="s">
        <v>33</v>
      </c>
      <c r="H61" s="1">
        <v>2.36</v>
      </c>
      <c r="I61" s="1">
        <v>3</v>
      </c>
      <c r="J61" s="1">
        <v>6.25</v>
      </c>
      <c r="K61" s="1">
        <v>2.5</v>
      </c>
    </row>
    <row r="62" spans="6:11">
      <c r="F62" s="40"/>
      <c r="G62" s="1" t="s">
        <v>34</v>
      </c>
      <c r="H62" s="1">
        <v>3.53</v>
      </c>
      <c r="I62" s="1">
        <v>4.5</v>
      </c>
      <c r="J62" s="1">
        <v>9.3800000000000008</v>
      </c>
      <c r="K62" s="1">
        <v>3.75</v>
      </c>
    </row>
    <row r="63" spans="6:11">
      <c r="F63" s="40"/>
      <c r="G63" s="1" t="s">
        <v>35</v>
      </c>
      <c r="H63" s="1">
        <v>5.3</v>
      </c>
      <c r="I63" s="1">
        <v>6.75</v>
      </c>
      <c r="J63" s="1">
        <v>31.6</v>
      </c>
      <c r="K63" s="1">
        <v>8.44</v>
      </c>
    </row>
    <row r="64" spans="6:11">
      <c r="F64" s="40"/>
      <c r="G64" s="1" t="s">
        <v>36</v>
      </c>
      <c r="H64" s="1">
        <v>7.06</v>
      </c>
      <c r="I64" s="1">
        <v>9</v>
      </c>
      <c r="J64" s="1">
        <v>42.2</v>
      </c>
      <c r="K64" s="1">
        <v>11.3</v>
      </c>
    </row>
    <row r="65" spans="6:11">
      <c r="F65" s="40" t="s">
        <v>55</v>
      </c>
      <c r="G65" s="1" t="s">
        <v>37</v>
      </c>
      <c r="H65" s="1">
        <v>2.95</v>
      </c>
      <c r="I65" s="1">
        <v>3.7549999999999999</v>
      </c>
      <c r="J65" s="1">
        <v>5.42</v>
      </c>
      <c r="K65" s="1">
        <v>1.91</v>
      </c>
    </row>
    <row r="66" spans="6:11">
      <c r="F66" s="40"/>
      <c r="G66" s="1" t="s">
        <v>38</v>
      </c>
      <c r="H66" s="1">
        <v>4.43</v>
      </c>
      <c r="I66" s="1">
        <v>5.6440000000000001</v>
      </c>
      <c r="J66" s="1">
        <v>12.6</v>
      </c>
      <c r="K66" s="1">
        <v>3.55</v>
      </c>
    </row>
    <row r="67" spans="6:11">
      <c r="F67" s="40"/>
      <c r="G67" s="1" t="s">
        <v>39</v>
      </c>
      <c r="H67" s="1">
        <v>5.91</v>
      </c>
      <c r="I67" s="1">
        <v>7.5270000000000001</v>
      </c>
      <c r="J67" s="1">
        <v>29.4</v>
      </c>
      <c r="K67" s="1">
        <v>6.27</v>
      </c>
    </row>
    <row r="68" spans="6:11">
      <c r="F68" s="40"/>
      <c r="G68" s="1" t="s">
        <v>40</v>
      </c>
      <c r="H68" s="1">
        <v>9.9600000000000009</v>
      </c>
      <c r="I68" s="1">
        <v>12.69</v>
      </c>
      <c r="J68" s="1">
        <v>64.400000000000006</v>
      </c>
      <c r="K68" s="1">
        <v>12.1</v>
      </c>
    </row>
    <row r="69" spans="6:11">
      <c r="F69" s="40"/>
      <c r="G69" s="1" t="s">
        <v>41</v>
      </c>
      <c r="H69" s="1">
        <v>14.9</v>
      </c>
      <c r="I69" s="1">
        <v>19</v>
      </c>
      <c r="J69" s="1">
        <v>175</v>
      </c>
      <c r="K69" s="1">
        <v>24.4</v>
      </c>
    </row>
    <row r="70" spans="6:11">
      <c r="F70" s="40" t="s">
        <v>56</v>
      </c>
      <c r="G70" s="1" t="s">
        <v>42</v>
      </c>
      <c r="H70" s="1">
        <v>9.36</v>
      </c>
      <c r="I70" s="1">
        <v>11.92</v>
      </c>
      <c r="J70" s="1">
        <v>189</v>
      </c>
      <c r="K70" s="1">
        <v>37.799999999999997</v>
      </c>
    </row>
    <row r="71" spans="6:11">
      <c r="F71" s="40"/>
      <c r="G71" s="1" t="s">
        <v>43</v>
      </c>
      <c r="H71" s="1">
        <v>13.4</v>
      </c>
      <c r="I71" s="1">
        <v>17.11</v>
      </c>
      <c r="J71" s="1">
        <v>425</v>
      </c>
      <c r="K71" s="1">
        <v>68</v>
      </c>
    </row>
    <row r="72" spans="6:11">
      <c r="F72" s="40"/>
      <c r="G72" s="1" t="s">
        <v>44</v>
      </c>
      <c r="H72" s="1">
        <v>24</v>
      </c>
      <c r="I72" s="1">
        <v>30.59</v>
      </c>
      <c r="J72" s="1">
        <v>1050</v>
      </c>
      <c r="K72" s="1">
        <v>140</v>
      </c>
    </row>
    <row r="73" spans="6:11">
      <c r="F73" s="40"/>
      <c r="G73" s="1" t="s">
        <v>45</v>
      </c>
      <c r="H73" s="1">
        <v>30.3</v>
      </c>
      <c r="I73" s="1">
        <v>38.65</v>
      </c>
      <c r="J73" s="1">
        <v>2490</v>
      </c>
      <c r="K73" s="1">
        <v>249</v>
      </c>
    </row>
    <row r="74" spans="6:11">
      <c r="F74" s="40" t="s">
        <v>57</v>
      </c>
      <c r="G74" s="1" t="s">
        <v>46</v>
      </c>
      <c r="H74" s="1">
        <v>17.2</v>
      </c>
      <c r="I74" s="1">
        <v>31.9</v>
      </c>
      <c r="J74" s="1">
        <v>383</v>
      </c>
      <c r="K74" s="1">
        <v>76.5</v>
      </c>
    </row>
    <row r="75" spans="6:11">
      <c r="F75" s="40"/>
      <c r="G75" s="1" t="s">
        <v>47</v>
      </c>
      <c r="H75" s="1">
        <v>23.8</v>
      </c>
      <c r="I75" s="1">
        <v>30.31</v>
      </c>
      <c r="J75" s="1">
        <v>847</v>
      </c>
      <c r="K75" s="1">
        <v>136</v>
      </c>
    </row>
    <row r="76" spans="6:11">
      <c r="F76" s="40"/>
      <c r="G76" s="1" t="s">
        <v>48</v>
      </c>
      <c r="H76" s="1">
        <v>31.5</v>
      </c>
      <c r="I76" s="1">
        <v>40.14</v>
      </c>
      <c r="J76" s="1">
        <v>1640</v>
      </c>
      <c r="K76" s="1">
        <v>219</v>
      </c>
    </row>
    <row r="77" spans="6:11">
      <c r="F77" s="40"/>
      <c r="G77" s="1" t="s">
        <v>49</v>
      </c>
      <c r="H77" s="1">
        <v>49.9</v>
      </c>
      <c r="I77" s="1">
        <v>63.53</v>
      </c>
      <c r="J77" s="1">
        <v>4720</v>
      </c>
      <c r="K77" s="1">
        <v>472</v>
      </c>
    </row>
    <row r="78" spans="6:11">
      <c r="F78" s="40" t="s">
        <v>58</v>
      </c>
      <c r="G78" s="1" t="s">
        <v>46</v>
      </c>
      <c r="H78" s="1">
        <v>17</v>
      </c>
      <c r="I78" s="1">
        <v>21.63</v>
      </c>
      <c r="J78" s="1">
        <v>311</v>
      </c>
      <c r="K78" s="1">
        <v>62.3</v>
      </c>
    </row>
    <row r="79" spans="6:11">
      <c r="F79" s="40"/>
      <c r="G79" s="1" t="s">
        <v>50</v>
      </c>
      <c r="H79" s="1">
        <v>21.7</v>
      </c>
      <c r="I79" s="1">
        <v>27.63</v>
      </c>
      <c r="J79" s="1">
        <v>641</v>
      </c>
      <c r="K79" s="1">
        <v>103</v>
      </c>
    </row>
    <row r="80" spans="6:11">
      <c r="F80" s="40"/>
      <c r="G80" s="1" t="s">
        <v>51</v>
      </c>
      <c r="H80" s="1">
        <v>38.200000000000003</v>
      </c>
      <c r="I80" s="1">
        <v>48.67</v>
      </c>
      <c r="J80" s="1">
        <v>1580</v>
      </c>
      <c r="K80" s="1">
        <v>210</v>
      </c>
    </row>
    <row r="81" spans="6:11">
      <c r="F81" s="40"/>
      <c r="G81" s="1" t="s">
        <v>52</v>
      </c>
      <c r="H81" s="1">
        <v>67.900000000000006</v>
      </c>
      <c r="I81" s="1">
        <v>86.53</v>
      </c>
      <c r="J81" s="1">
        <v>4980</v>
      </c>
      <c r="K81" s="1">
        <v>498</v>
      </c>
    </row>
    <row r="83" spans="6:11">
      <c r="F83" s="1"/>
      <c r="G83" s="1" t="s">
        <v>71</v>
      </c>
      <c r="H83" s="1" t="s">
        <v>72</v>
      </c>
      <c r="I83" s="1" t="s">
        <v>73</v>
      </c>
      <c r="J83" s="1" t="s">
        <v>74</v>
      </c>
    </row>
    <row r="84" spans="6:11">
      <c r="F84" s="1" t="s">
        <v>65</v>
      </c>
      <c r="G84" s="1">
        <v>235</v>
      </c>
      <c r="H84" s="1">
        <f>ROUNDDOWN(G84/1.5,0)</f>
        <v>156</v>
      </c>
      <c r="I84" s="1">
        <f>ROUNDDOWN(G84/(1.5*SQRT(3)),0)</f>
        <v>90</v>
      </c>
      <c r="J84" s="1"/>
    </row>
    <row r="85" spans="6:11">
      <c r="F85" s="1" t="s">
        <v>66</v>
      </c>
      <c r="G85" s="1">
        <v>235</v>
      </c>
      <c r="H85" s="1">
        <f t="shared" ref="H85:H89" si="0">ROUNDDOWN(G85/1.5,0)</f>
        <v>156</v>
      </c>
      <c r="I85" s="1">
        <f t="shared" ref="I85:I89" si="1">ROUNDDOWN(G85/(1.5*SQRT(3)),0)</f>
        <v>90</v>
      </c>
      <c r="J85" s="1"/>
    </row>
    <row r="86" spans="6:11">
      <c r="F86" s="1" t="s">
        <v>67</v>
      </c>
      <c r="G86" s="1">
        <v>235</v>
      </c>
      <c r="H86" s="1">
        <f t="shared" si="0"/>
        <v>156</v>
      </c>
      <c r="I86" s="1">
        <f t="shared" si="1"/>
        <v>90</v>
      </c>
      <c r="J86" s="1"/>
    </row>
    <row r="87" spans="6:11">
      <c r="F87" s="1" t="s">
        <v>68</v>
      </c>
      <c r="G87" s="1">
        <v>235</v>
      </c>
      <c r="H87" s="1">
        <f t="shared" si="0"/>
        <v>156</v>
      </c>
      <c r="I87" s="1">
        <f t="shared" si="1"/>
        <v>90</v>
      </c>
      <c r="J87" s="1"/>
    </row>
    <row r="88" spans="6:11">
      <c r="F88" s="1" t="s">
        <v>69</v>
      </c>
      <c r="G88" s="1">
        <v>235</v>
      </c>
      <c r="H88" s="1">
        <f t="shared" si="0"/>
        <v>156</v>
      </c>
      <c r="I88" s="1">
        <f t="shared" si="1"/>
        <v>90</v>
      </c>
      <c r="J88" s="1"/>
    </row>
    <row r="89" spans="6:11">
      <c r="F89" s="1" t="s">
        <v>70</v>
      </c>
      <c r="G89" s="1">
        <v>235</v>
      </c>
      <c r="H89" s="1">
        <f t="shared" si="0"/>
        <v>156</v>
      </c>
      <c r="I89" s="1">
        <f t="shared" si="1"/>
        <v>90</v>
      </c>
      <c r="J89" s="1"/>
    </row>
  </sheetData>
  <mergeCells count="11">
    <mergeCell ref="F6:F7"/>
    <mergeCell ref="G6:G7"/>
    <mergeCell ref="F40:G40"/>
    <mergeCell ref="F53:F58"/>
    <mergeCell ref="B4:D4"/>
    <mergeCell ref="B21:D40"/>
    <mergeCell ref="F59:F64"/>
    <mergeCell ref="F65:F69"/>
    <mergeCell ref="F70:F73"/>
    <mergeCell ref="F74:F77"/>
    <mergeCell ref="F78:F81"/>
  </mergeCells>
  <phoneticPr fontId="1"/>
  <dataValidations count="2">
    <dataValidation type="list" allowBlank="1" showInputMessage="1" showErrorMessage="1" sqref="C6:D6" xr:uid="{8448EDA7-2EC8-EF48-87EF-9EEA289A1F69}">
      <formula1>$H$6:$O$6</formula1>
    </dataValidation>
    <dataValidation type="list" allowBlank="1" showInputMessage="1" showErrorMessage="1" sqref="C7:D7" xr:uid="{38A17A04-8D85-7249-A020-B95661C9C443}">
      <formula1>$F$8:$F$38</formula1>
    </dataValidation>
  </dataValidations>
  <pageMargins left="0.78740157480314965" right="0.39370078740157483" top="0.39370078740157483" bottom="0.39370078740157483" header="0" footer="0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966AD-9964-5947-9838-7AC0111FEB41}">
  <dimension ref="C4:T56"/>
  <sheetViews>
    <sheetView view="pageBreakPreview" zoomScaleNormal="100" zoomScaleSheetLayoutView="100" workbookViewId="0">
      <selection activeCell="B2" sqref="B2"/>
    </sheetView>
  </sheetViews>
  <sheetFormatPr baseColWidth="10" defaultRowHeight="20"/>
  <cols>
    <col min="1" max="2" width="2.7109375" customWidth="1"/>
    <col min="3" max="3" width="3.140625" bestFit="1" customWidth="1"/>
    <col min="4" max="4" width="22.42578125" bestFit="1" customWidth="1"/>
    <col min="5" max="7" width="15.28515625" bestFit="1" customWidth="1"/>
    <col min="8" max="13" width="2.7109375" customWidth="1"/>
    <col min="14" max="14" width="58.7109375" bestFit="1" customWidth="1"/>
    <col min="15" max="15" width="20.42578125" bestFit="1" customWidth="1"/>
    <col min="16" max="16" width="19.140625" bestFit="1" customWidth="1"/>
    <col min="17" max="17" width="35.28515625" bestFit="1" customWidth="1"/>
    <col min="18" max="18" width="14.42578125" bestFit="1" customWidth="1"/>
    <col min="19" max="19" width="27.28515625" bestFit="1" customWidth="1"/>
    <col min="20" max="20" width="18" bestFit="1" customWidth="1"/>
    <col min="21" max="21" width="49.5703125" bestFit="1" customWidth="1"/>
    <col min="22" max="23" width="29.140625" bestFit="1" customWidth="1"/>
  </cols>
  <sheetData>
    <row r="4" spans="3:16" ht="32" thickBot="1">
      <c r="C4" s="47" t="s">
        <v>75</v>
      </c>
      <c r="D4" s="47"/>
      <c r="E4" s="47"/>
      <c r="F4" s="47"/>
      <c r="G4" s="47"/>
      <c r="H4" s="19"/>
      <c r="I4" s="19"/>
      <c r="J4" s="19"/>
      <c r="K4" s="19"/>
    </row>
    <row r="5" spans="3:16" ht="21" thickTop="1">
      <c r="C5" s="48" t="s">
        <v>128</v>
      </c>
      <c r="D5" s="48"/>
      <c r="E5" s="33"/>
      <c r="F5" s="33"/>
      <c r="G5" s="33"/>
      <c r="H5" s="20"/>
      <c r="I5" s="20"/>
      <c r="J5" s="20"/>
      <c r="K5" s="20"/>
      <c r="N5" t="s">
        <v>129</v>
      </c>
    </row>
    <row r="6" spans="3:16">
      <c r="C6" s="49" t="s">
        <v>76</v>
      </c>
      <c r="D6" s="49"/>
      <c r="E6" s="23"/>
      <c r="F6" s="23"/>
      <c r="G6" s="23"/>
      <c r="H6" s="20"/>
      <c r="I6" s="20"/>
      <c r="J6" s="20"/>
      <c r="K6" s="20"/>
      <c r="N6" t="s">
        <v>130</v>
      </c>
    </row>
    <row r="7" spans="3:16">
      <c r="C7" s="49" t="s">
        <v>59</v>
      </c>
      <c r="D7" s="49"/>
      <c r="E7" s="23"/>
      <c r="F7" s="23"/>
      <c r="G7" s="23"/>
      <c r="H7" s="21"/>
      <c r="I7" s="21"/>
      <c r="J7" s="21"/>
      <c r="K7" s="21"/>
      <c r="N7" s="51" t="s">
        <v>16</v>
      </c>
      <c r="O7" s="52"/>
      <c r="P7" s="53"/>
    </row>
    <row r="8" spans="3:16">
      <c r="C8" s="49" t="s">
        <v>117</v>
      </c>
      <c r="D8" s="49"/>
      <c r="E8" s="24" t="str">
        <f>IFERROR(VLOOKUP(E6,$N$51:$S$56,6,FALSE),"")</f>
        <v/>
      </c>
      <c r="F8" s="24" t="str">
        <f>IFERROR(VLOOKUP(F6,$N$51:$S$56,6,FALSE),"")</f>
        <v/>
      </c>
      <c r="G8" s="24" t="str">
        <f>IFERROR(VLOOKUP(G6,$N$51:$S$56,6,FALSE),"")</f>
        <v/>
      </c>
      <c r="H8" s="21"/>
      <c r="I8" s="21"/>
      <c r="J8" s="21"/>
      <c r="K8" s="21"/>
      <c r="N8" s="1" t="s">
        <v>17</v>
      </c>
      <c r="O8" s="1" t="s">
        <v>18</v>
      </c>
      <c r="P8" s="1" t="s">
        <v>25</v>
      </c>
    </row>
    <row r="9" spans="3:16">
      <c r="C9" s="49" t="s">
        <v>118</v>
      </c>
      <c r="D9" s="49"/>
      <c r="E9" s="24" t="str">
        <f>IFERROR(VLOOKUP(E7,$N$20:$R$48,3,FALSE),"")</f>
        <v/>
      </c>
      <c r="F9" s="24" t="str">
        <f>IFERROR(VLOOKUP(F7,$N$20:$R$48,3,FALSE),"")</f>
        <v/>
      </c>
      <c r="G9" s="24" t="str">
        <f>IFERROR(VLOOKUP(G7,$N$20:$R$48,3,FALSE),"")</f>
        <v/>
      </c>
      <c r="H9" s="21"/>
      <c r="I9" s="21"/>
      <c r="J9" s="21"/>
      <c r="K9" s="21"/>
      <c r="N9" s="1" t="s">
        <v>2</v>
      </c>
      <c r="O9" s="1">
        <v>7.93</v>
      </c>
      <c r="P9" s="1">
        <v>197</v>
      </c>
    </row>
    <row r="10" spans="3:16">
      <c r="C10" s="50" t="s">
        <v>122</v>
      </c>
      <c r="D10" s="50"/>
      <c r="E10" s="24" t="str">
        <f>IFERROR(VLOOKUP(E7,$N$20:$R$48,5,FALSE)*1000,"")</f>
        <v/>
      </c>
      <c r="F10" s="24" t="str">
        <f>IFERROR(VLOOKUP(F7,$N$20:$R$48,5,FALSE)*1000,"")</f>
        <v/>
      </c>
      <c r="G10" s="24" t="str">
        <f>IFERROR(VLOOKUP(G7,$N$20:$R$48,5,FALSE)*1000,"")</f>
        <v/>
      </c>
      <c r="H10" s="21"/>
      <c r="I10" s="21"/>
      <c r="J10" s="21"/>
      <c r="K10" s="21"/>
      <c r="N10" s="1" t="s">
        <v>3</v>
      </c>
      <c r="O10" s="1">
        <v>7.93</v>
      </c>
      <c r="P10" s="1">
        <v>197</v>
      </c>
    </row>
    <row r="11" spans="3:16">
      <c r="C11" s="49" t="s">
        <v>120</v>
      </c>
      <c r="D11" s="49"/>
      <c r="E11" s="24" t="str">
        <f>IFERROR(VLOOKUP(E7,$N$20:$S$48,6,FALSE),"")</f>
        <v/>
      </c>
      <c r="F11" s="24" t="str">
        <f>IFERROR(VLOOKUP(F7,$N$20:$S$48,6,FALSE),"")</f>
        <v/>
      </c>
      <c r="G11" s="24" t="str">
        <f>IFERROR(VLOOKUP(G7,$N$20:$S$48,6,FALSE),"")</f>
        <v/>
      </c>
      <c r="H11" s="21"/>
      <c r="I11" s="21"/>
      <c r="J11" s="21"/>
      <c r="K11" s="21"/>
      <c r="N11" s="1" t="s">
        <v>22</v>
      </c>
      <c r="O11" s="1">
        <v>7.93</v>
      </c>
      <c r="P11" s="1">
        <v>197</v>
      </c>
    </row>
    <row r="12" spans="3:16">
      <c r="C12" s="50" t="s">
        <v>113</v>
      </c>
      <c r="D12" s="50"/>
      <c r="E12" s="24" t="str">
        <f>IFERROR(VLOOKUP(E6,$N$51:$R$56,3,FALSE),"")</f>
        <v/>
      </c>
      <c r="F12" s="24" t="str">
        <f>IFERROR(VLOOKUP(F6,$N$51:$R$56,3,FALSE),"")</f>
        <v/>
      </c>
      <c r="G12" s="24" t="str">
        <f>IFERROR(VLOOKUP(G6,$N$51:$R$56,3,FALSE),"")</f>
        <v/>
      </c>
      <c r="H12" s="22"/>
      <c r="I12" s="22"/>
      <c r="J12" s="22"/>
      <c r="K12" s="22"/>
      <c r="N12" s="17" t="s">
        <v>5</v>
      </c>
      <c r="O12" s="1">
        <v>7.93</v>
      </c>
      <c r="P12" s="1">
        <v>197</v>
      </c>
    </row>
    <row r="13" spans="3:16">
      <c r="C13" s="49" t="s">
        <v>115</v>
      </c>
      <c r="D13" s="49"/>
      <c r="E13" s="25" t="str">
        <f>IFERROR((0.434*E8)/((E14*1000)*(VLOOKUP(E7,$N$20:$T$48,7,FALSE))/E11),"")</f>
        <v/>
      </c>
      <c r="F13" s="25" t="str">
        <f>IFERROR((0.434*F8)/((F14*1000)*(VLOOKUP(F7,$N$20:$T$48,7,FALSE))/F11),"")</f>
        <v/>
      </c>
      <c r="G13" s="25" t="str">
        <f>IFERROR((0.434*G8)/((G14*1000)*(VLOOKUP(G7,$N$20:$T$48,7,FALSE))/G11),"")</f>
        <v/>
      </c>
      <c r="H13" s="20"/>
      <c r="I13" s="20"/>
      <c r="J13" s="20"/>
      <c r="K13" s="20"/>
      <c r="N13" s="17" t="s">
        <v>6</v>
      </c>
      <c r="O13" s="1">
        <v>7.85</v>
      </c>
      <c r="P13" s="1">
        <v>206</v>
      </c>
    </row>
    <row r="14" spans="3:16">
      <c r="C14" s="49" t="s">
        <v>107</v>
      </c>
      <c r="D14" s="49"/>
      <c r="E14" s="23"/>
      <c r="F14" s="23"/>
      <c r="G14" s="23"/>
      <c r="H14" s="21"/>
      <c r="I14" s="21"/>
      <c r="J14" s="21"/>
      <c r="K14" s="21"/>
      <c r="N14" s="17" t="s">
        <v>7</v>
      </c>
      <c r="O14" s="1">
        <v>7.85</v>
      </c>
      <c r="P14" s="1">
        <v>206</v>
      </c>
    </row>
    <row r="15" spans="3:16">
      <c r="C15" s="50" t="s">
        <v>109</v>
      </c>
      <c r="D15" s="50"/>
      <c r="E15" s="24" t="str">
        <f>IFERROR(VLOOKUP(E7,$N$20:$O$48,2,FALSE),"")</f>
        <v/>
      </c>
      <c r="F15" s="24" t="str">
        <f>IFERROR(VLOOKUP(F7,$N$20:$O$48,2,FALSE),"")</f>
        <v/>
      </c>
      <c r="G15" s="24" t="str">
        <f>IFERROR(VLOOKUP(G7,$N$20:$O$48,2,FALSE),"")</f>
        <v/>
      </c>
      <c r="H15" s="21"/>
      <c r="I15" s="21"/>
      <c r="J15" s="21"/>
      <c r="K15" s="21"/>
      <c r="N15" s="1" t="s">
        <v>23</v>
      </c>
      <c r="O15" s="1">
        <v>1.43</v>
      </c>
      <c r="P15" s="1">
        <v>2.802</v>
      </c>
    </row>
    <row r="16" spans="3:16">
      <c r="C16" s="49" t="s">
        <v>108</v>
      </c>
      <c r="D16" s="49"/>
      <c r="E16" s="24" t="str">
        <f>IFERROR(E14*E15,"")</f>
        <v/>
      </c>
      <c r="F16" s="24" t="str">
        <f>IFERROR(F14*F15,"")</f>
        <v/>
      </c>
      <c r="G16" s="24" t="str">
        <f>IFERROR(G14*G15,"")</f>
        <v/>
      </c>
      <c r="H16" s="20"/>
      <c r="I16" s="20"/>
      <c r="J16" s="20"/>
      <c r="K16" s="20"/>
      <c r="N16" s="1" t="s">
        <v>9</v>
      </c>
      <c r="O16" s="1">
        <v>1.43</v>
      </c>
      <c r="P16" s="1">
        <v>2.802</v>
      </c>
    </row>
    <row r="17" spans="3:20">
      <c r="C17" s="49" t="s">
        <v>110</v>
      </c>
      <c r="D17" s="49"/>
      <c r="E17" s="23"/>
      <c r="F17" s="23"/>
      <c r="G17" s="23"/>
      <c r="H17" s="21"/>
      <c r="I17" s="21"/>
      <c r="J17" s="21"/>
      <c r="K17" s="21"/>
    </row>
    <row r="18" spans="3:20">
      <c r="C18" s="49" t="s">
        <v>27</v>
      </c>
      <c r="D18" s="49"/>
      <c r="E18" s="24">
        <f>IFERROR(IF(((E14*1000)/500)&gt;2,2,((E14*1000)/500)),"")</f>
        <v>0</v>
      </c>
      <c r="F18" s="24">
        <f>IFERROR(IF(((F14*1000)/500)&gt;2,2,((F14*1000)/500)),"")</f>
        <v>0</v>
      </c>
      <c r="G18" s="24">
        <f>IFERROR(IF(((G14*1000)/500)&gt;2,2,((G14*1000)/500)),"")</f>
        <v>0</v>
      </c>
      <c r="H18" s="21"/>
      <c r="I18" s="21"/>
      <c r="J18" s="21"/>
      <c r="K18" s="21"/>
    </row>
    <row r="19" spans="3:20">
      <c r="C19" s="54" t="s">
        <v>126</v>
      </c>
      <c r="D19" s="26" t="s">
        <v>111</v>
      </c>
      <c r="E19" s="27" t="str">
        <f>IFERROR(((E17+E16)*9.8)*(E14*1000),"")</f>
        <v/>
      </c>
      <c r="F19" s="27" t="str">
        <f>IFERROR(((F17+F16)*9.8)*(F14*1000),"")</f>
        <v/>
      </c>
      <c r="G19" s="27" t="str">
        <f>IFERROR(((G17+G16)*9.8)*(G14*1000),"")</f>
        <v/>
      </c>
      <c r="H19" s="21"/>
      <c r="I19" s="21"/>
      <c r="J19" s="21"/>
      <c r="K19" s="21"/>
      <c r="N19" s="1" t="s">
        <v>106</v>
      </c>
      <c r="O19" s="1" t="s">
        <v>61</v>
      </c>
      <c r="P19" s="1" t="s">
        <v>62</v>
      </c>
      <c r="Q19" s="1" t="s">
        <v>63</v>
      </c>
      <c r="R19" s="1" t="s">
        <v>64</v>
      </c>
      <c r="S19" s="17" t="s">
        <v>119</v>
      </c>
      <c r="T19" s="17" t="s">
        <v>121</v>
      </c>
    </row>
    <row r="20" spans="3:20">
      <c r="C20" s="55"/>
      <c r="D20" s="28" t="s">
        <v>112</v>
      </c>
      <c r="E20" s="29" t="str">
        <f>IFERROR(E19/E10,"")</f>
        <v/>
      </c>
      <c r="F20" s="29" t="str">
        <f>IFERROR(F19/F10,"")</f>
        <v/>
      </c>
      <c r="G20" s="29" t="str">
        <f>IFERROR(G19/G10,"")</f>
        <v/>
      </c>
      <c r="H20" s="21"/>
      <c r="I20" s="21"/>
      <c r="J20" s="21"/>
      <c r="K20" s="21"/>
      <c r="N20" s="1" t="s">
        <v>77</v>
      </c>
      <c r="O20" s="1">
        <v>0.61699999999999999</v>
      </c>
      <c r="P20" s="1">
        <v>0.78539999999999999</v>
      </c>
      <c r="Q20" s="1">
        <v>4.9099999999999998E-2</v>
      </c>
      <c r="R20" s="1">
        <v>9.8199999999999996E-2</v>
      </c>
      <c r="S20" s="1">
        <f t="shared" ref="S20:S36" si="0">P20</f>
        <v>0.78539999999999999</v>
      </c>
      <c r="T20" s="1">
        <v>10</v>
      </c>
    </row>
    <row r="21" spans="3:20">
      <c r="C21" s="55"/>
      <c r="D21" s="28" t="s">
        <v>114</v>
      </c>
      <c r="E21" s="29" t="str">
        <f>IFERROR(IF(E12&gt;E20,"◯","×"),"")</f>
        <v>×</v>
      </c>
      <c r="F21" s="29" t="str">
        <f>IFERROR(IF(F12&gt;F20,"◯","×"),"")</f>
        <v>×</v>
      </c>
      <c r="G21" s="29" t="str">
        <f>IFERROR(IF(G12&gt;G20,"◯","×"),"")</f>
        <v>×</v>
      </c>
      <c r="H21" s="21"/>
      <c r="I21" s="21"/>
      <c r="J21" s="21"/>
      <c r="K21" s="21"/>
      <c r="N21" s="1" t="s">
        <v>78</v>
      </c>
      <c r="O21" s="1">
        <v>0.88800000000000001</v>
      </c>
      <c r="P21" s="1">
        <v>1.131</v>
      </c>
      <c r="Q21" s="1">
        <v>0.1018</v>
      </c>
      <c r="R21" s="1">
        <v>0.1696</v>
      </c>
      <c r="S21" s="1">
        <f t="shared" si="0"/>
        <v>1.131</v>
      </c>
      <c r="T21" s="1">
        <v>12</v>
      </c>
    </row>
    <row r="22" spans="3:20">
      <c r="C22" s="55"/>
      <c r="D22" s="28" t="s">
        <v>123</v>
      </c>
      <c r="E22" s="29" t="str">
        <f>IFERROR(IF(E13&gt;E20,"◯","×"),"")</f>
        <v>×</v>
      </c>
      <c r="F22" s="29" t="str">
        <f>IFERROR(IF(F13&gt;F20,"◯","×"),"")</f>
        <v>×</v>
      </c>
      <c r="G22" s="29" t="str">
        <f>IFERROR(IF(G13&gt;G20,"◯","×"),"")</f>
        <v>×</v>
      </c>
      <c r="H22" s="21"/>
      <c r="I22" s="21"/>
      <c r="J22" s="21"/>
      <c r="K22" s="21"/>
      <c r="N22" s="1" t="s">
        <v>79</v>
      </c>
      <c r="O22" s="1">
        <v>1.58</v>
      </c>
      <c r="P22" s="1">
        <v>2.0110000000000001</v>
      </c>
      <c r="Q22" s="1">
        <v>0.32169999999999999</v>
      </c>
      <c r="R22" s="1">
        <v>0.40210000000000001</v>
      </c>
      <c r="S22" s="1">
        <f t="shared" si="0"/>
        <v>2.0110000000000001</v>
      </c>
      <c r="T22" s="1">
        <v>16</v>
      </c>
    </row>
    <row r="23" spans="3:20">
      <c r="C23" s="55"/>
      <c r="D23" s="30" t="s">
        <v>124</v>
      </c>
      <c r="E23" s="29" t="str">
        <f>IFERROR(ROUNDUP((((E17+E16)*9.8)*((E14*1000)^3))/(3*E8*(VLOOKUP(E7,$N$20:$T$48,4,FALSE)*10^4)),1),"")</f>
        <v/>
      </c>
      <c r="F23" s="29" t="str">
        <f>IFERROR(ROUNDUP((((F17+F16)*9.8)*((F14*1000)^3))/(3*F8*(VLOOKUP(F7,$N$20:$T$48,4,FALSE)*10^4)),1),"")</f>
        <v/>
      </c>
      <c r="G23" s="29" t="str">
        <f>IFERROR(ROUNDUP((((G17+G16)*9.8)*((G14*1000)^3))/(3*G8*(VLOOKUP(G7,$N$20:$T$48,4,FALSE)*10^4)),1),"")</f>
        <v/>
      </c>
      <c r="H23" s="21"/>
      <c r="I23" s="21"/>
      <c r="J23" s="21"/>
      <c r="K23" s="21"/>
      <c r="N23" s="1" t="s">
        <v>80</v>
      </c>
      <c r="O23" s="1">
        <v>2.4700000000000002</v>
      </c>
      <c r="P23" s="1">
        <v>3.1419999999999999</v>
      </c>
      <c r="Q23" s="1">
        <v>0.78539999999999999</v>
      </c>
      <c r="R23" s="1">
        <v>0.78539999999999999</v>
      </c>
      <c r="S23" s="1">
        <f t="shared" si="0"/>
        <v>3.1419999999999999</v>
      </c>
      <c r="T23" s="1">
        <v>20</v>
      </c>
    </row>
    <row r="24" spans="3:20">
      <c r="C24" s="56"/>
      <c r="D24" s="31" t="s">
        <v>125</v>
      </c>
      <c r="E24" s="32" t="str">
        <f>IFERROR(IF(E23&gt;E18,"×","○"),"")</f>
        <v>×</v>
      </c>
      <c r="F24" s="32" t="str">
        <f>IFERROR(IF(F23&gt;F18,"×","○"),"")</f>
        <v>×</v>
      </c>
      <c r="G24" s="32" t="str">
        <f>IFERROR(IF(G23&gt;G18,"×","○"),"")</f>
        <v>×</v>
      </c>
      <c r="H24" s="21"/>
      <c r="I24" s="21"/>
      <c r="J24" s="21"/>
      <c r="K24" s="21"/>
      <c r="N24" s="1" t="s">
        <v>81</v>
      </c>
      <c r="O24" s="1">
        <v>2.98</v>
      </c>
      <c r="P24" s="1">
        <v>3.8010000000000002</v>
      </c>
      <c r="Q24" s="1">
        <v>1.1498999999999999</v>
      </c>
      <c r="R24" s="1">
        <v>1.0449999999999999</v>
      </c>
      <c r="S24" s="1">
        <f t="shared" si="0"/>
        <v>3.8010000000000002</v>
      </c>
      <c r="T24" s="1">
        <v>22</v>
      </c>
    </row>
    <row r="25" spans="3:20">
      <c r="C25" s="54" t="s">
        <v>127</v>
      </c>
      <c r="D25" s="26" t="s">
        <v>111</v>
      </c>
      <c r="E25" s="27" t="str">
        <f>IFERROR((((E17+E16)*9.8)*(E14*1000))/4,"")</f>
        <v/>
      </c>
      <c r="F25" s="27" t="str">
        <f>IFERROR((((F17+F16)*9.8)*(F14*1000))/4,"")</f>
        <v/>
      </c>
      <c r="G25" s="27" t="str">
        <f>IFERROR((((G17+G16)*9.8)*(G14*1000))/4,"")</f>
        <v/>
      </c>
      <c r="H25" s="21"/>
      <c r="I25" s="21"/>
      <c r="J25" s="21"/>
      <c r="K25" s="21"/>
      <c r="N25" s="1" t="s">
        <v>82</v>
      </c>
      <c r="O25" s="1">
        <v>3.55</v>
      </c>
      <c r="P25" s="1">
        <v>4.524</v>
      </c>
      <c r="Q25" s="1">
        <v>1.6286</v>
      </c>
      <c r="R25" s="1">
        <v>1.357</v>
      </c>
      <c r="S25" s="1">
        <f t="shared" si="0"/>
        <v>4.524</v>
      </c>
      <c r="T25" s="1">
        <v>24</v>
      </c>
    </row>
    <row r="26" spans="3:20">
      <c r="C26" s="55"/>
      <c r="D26" s="28" t="s">
        <v>112</v>
      </c>
      <c r="E26" s="29" t="str">
        <f>IFERROR(E25/E10,"")</f>
        <v/>
      </c>
      <c r="F26" s="29" t="str">
        <f>IFERROR(F25/F10,"")</f>
        <v/>
      </c>
      <c r="G26" s="29" t="str">
        <f>IFERROR(G25/G10,"")</f>
        <v/>
      </c>
      <c r="H26" s="21"/>
      <c r="I26" s="21"/>
      <c r="J26" s="21"/>
      <c r="K26" s="21"/>
      <c r="N26" s="1" t="s">
        <v>83</v>
      </c>
      <c r="O26" s="1">
        <v>1.1299999999999999</v>
      </c>
      <c r="P26" s="1">
        <v>1.44</v>
      </c>
      <c r="Q26" s="1">
        <v>1.23</v>
      </c>
      <c r="R26" s="1">
        <v>0.77</v>
      </c>
      <c r="S26" s="1">
        <f t="shared" si="0"/>
        <v>1.44</v>
      </c>
      <c r="T26" s="1">
        <v>32</v>
      </c>
    </row>
    <row r="27" spans="3:20">
      <c r="C27" s="55"/>
      <c r="D27" s="28" t="s">
        <v>114</v>
      </c>
      <c r="E27" s="29" t="str">
        <f>IFERROR(IF(E12&gt;E26,"◯","×"),"")</f>
        <v>×</v>
      </c>
      <c r="F27" s="29" t="str">
        <f>IFERROR(IF(F12&gt;F26,"◯","×"),"")</f>
        <v>×</v>
      </c>
      <c r="G27" s="29" t="str">
        <f>IFERROR(IF(G12&gt;G26,"◯","×"),"")</f>
        <v>×</v>
      </c>
      <c r="H27" s="21"/>
      <c r="I27" s="21"/>
      <c r="J27" s="21"/>
      <c r="K27" s="21"/>
      <c r="N27" s="1" t="s">
        <v>84</v>
      </c>
      <c r="O27" s="1">
        <v>1.34</v>
      </c>
      <c r="P27" s="1">
        <v>1.71</v>
      </c>
      <c r="Q27" s="1">
        <v>2.06</v>
      </c>
      <c r="R27" s="1">
        <v>1.08</v>
      </c>
      <c r="S27" s="1">
        <f t="shared" si="0"/>
        <v>1.71</v>
      </c>
      <c r="T27" s="1">
        <v>38</v>
      </c>
    </row>
    <row r="28" spans="3:20">
      <c r="C28" s="55"/>
      <c r="D28" s="28" t="s">
        <v>123</v>
      </c>
      <c r="E28" s="29" t="str">
        <f>IFERROR(IF(E13&gt;E26,"◯","×"),"")</f>
        <v>×</v>
      </c>
      <c r="F28" s="29" t="str">
        <f>IFERROR(IF(F13&gt;F26,"◯","×"),"")</f>
        <v>×</v>
      </c>
      <c r="G28" s="29" t="str">
        <f>IFERROR(IF(G13&gt;G26,"◯","×"),"")</f>
        <v>×</v>
      </c>
      <c r="H28" s="21"/>
      <c r="I28" s="21"/>
      <c r="J28" s="21"/>
      <c r="K28" s="21"/>
      <c r="N28" s="1" t="s">
        <v>85</v>
      </c>
      <c r="O28" s="1">
        <v>2.36</v>
      </c>
      <c r="P28" s="1">
        <v>3</v>
      </c>
      <c r="Q28" s="1">
        <v>6.25</v>
      </c>
      <c r="R28" s="1">
        <v>2.5</v>
      </c>
      <c r="S28" s="1">
        <f t="shared" si="0"/>
        <v>3</v>
      </c>
      <c r="T28" s="1">
        <v>50</v>
      </c>
    </row>
    <row r="29" spans="3:20">
      <c r="C29" s="55"/>
      <c r="D29" s="30" t="s">
        <v>124</v>
      </c>
      <c r="E29" s="29" t="str">
        <f>IFERROR(ROUNDUP(((E17+E16)*9.8*((E14*1000)^3))/(48*E8*(VLOOKUP(E7,$N$20:$T$48,4,FALSE)*10^4)),2),"")</f>
        <v/>
      </c>
      <c r="F29" s="29" t="str">
        <f>IFERROR(ROUNDUP(((F17+F16)*9.8*((F14*1000)^3))/(48*F8*(VLOOKUP(F7,$N$20:$T$48,4,FALSE)*10^4)),2),"")</f>
        <v/>
      </c>
      <c r="G29" s="29" t="str">
        <f>IFERROR(ROUNDUP(((G17+G16)*9.8*((G14*1000)^3))/(48*G8*(VLOOKUP(G7,$N$20:$T$48,4,FALSE)*10^4)),2),"")</f>
        <v/>
      </c>
      <c r="H29" s="21"/>
      <c r="I29" s="21"/>
      <c r="J29" s="21"/>
      <c r="K29" s="21"/>
      <c r="N29" s="1" t="s">
        <v>86</v>
      </c>
      <c r="O29" s="1">
        <v>3.53</v>
      </c>
      <c r="P29" s="1">
        <v>4.5</v>
      </c>
      <c r="Q29" s="1">
        <v>9.3800000000000008</v>
      </c>
      <c r="R29" s="1">
        <v>3.75</v>
      </c>
      <c r="S29" s="1">
        <f t="shared" si="0"/>
        <v>4.5</v>
      </c>
      <c r="T29" s="1">
        <v>50</v>
      </c>
    </row>
    <row r="30" spans="3:20">
      <c r="C30" s="56"/>
      <c r="D30" s="31" t="s">
        <v>125</v>
      </c>
      <c r="E30" s="32" t="str">
        <f>IFERROR(IF(E29&gt;E18,"×","○"),"")</f>
        <v>×</v>
      </c>
      <c r="F30" s="32" t="str">
        <f>IFERROR(IF(F29&gt;F18,"×","○"),"")</f>
        <v>×</v>
      </c>
      <c r="G30" s="32" t="str">
        <f>IFERROR(IF(G29&gt;G18,"×","○"),"")</f>
        <v>×</v>
      </c>
      <c r="N30" s="1" t="s">
        <v>87</v>
      </c>
      <c r="O30" s="1">
        <v>5.3</v>
      </c>
      <c r="P30" s="1">
        <v>6.75</v>
      </c>
      <c r="Q30" s="1">
        <v>31.6</v>
      </c>
      <c r="R30" s="1">
        <v>8.44</v>
      </c>
      <c r="S30" s="1">
        <f t="shared" si="0"/>
        <v>6.75</v>
      </c>
      <c r="T30" s="1">
        <v>75</v>
      </c>
    </row>
    <row r="31" spans="3:20">
      <c r="C31" s="57" t="s">
        <v>131</v>
      </c>
      <c r="D31" s="58"/>
      <c r="E31" s="58"/>
      <c r="F31" s="58"/>
      <c r="G31" s="59"/>
      <c r="N31" s="1" t="s">
        <v>88</v>
      </c>
      <c r="O31" s="1">
        <v>7.06</v>
      </c>
      <c r="P31" s="1">
        <v>9</v>
      </c>
      <c r="Q31" s="1">
        <v>42.2</v>
      </c>
      <c r="R31" s="1">
        <v>11.3</v>
      </c>
      <c r="S31" s="1">
        <f t="shared" si="0"/>
        <v>9</v>
      </c>
      <c r="T31" s="1">
        <v>75</v>
      </c>
    </row>
    <row r="32" spans="3:20">
      <c r="C32" s="60"/>
      <c r="D32" s="61"/>
      <c r="E32" s="61"/>
      <c r="F32" s="61"/>
      <c r="G32" s="62"/>
      <c r="N32" s="1" t="s">
        <v>89</v>
      </c>
      <c r="O32" s="1">
        <v>2.95</v>
      </c>
      <c r="P32" s="1">
        <v>3.7549999999999999</v>
      </c>
      <c r="Q32" s="1">
        <v>5.42</v>
      </c>
      <c r="R32" s="1">
        <v>1.91</v>
      </c>
      <c r="S32" s="1">
        <f t="shared" si="0"/>
        <v>3.7549999999999999</v>
      </c>
      <c r="T32" s="1">
        <v>40</v>
      </c>
    </row>
    <row r="33" spans="3:20">
      <c r="C33" s="60"/>
      <c r="D33" s="61"/>
      <c r="E33" s="61"/>
      <c r="F33" s="61"/>
      <c r="G33" s="62"/>
      <c r="N33" s="1" t="s">
        <v>90</v>
      </c>
      <c r="O33" s="1">
        <v>4.43</v>
      </c>
      <c r="P33" s="1">
        <v>5.6440000000000001</v>
      </c>
      <c r="Q33" s="1">
        <v>12.6</v>
      </c>
      <c r="R33" s="1">
        <v>3.55</v>
      </c>
      <c r="S33" s="1">
        <f t="shared" si="0"/>
        <v>5.6440000000000001</v>
      </c>
      <c r="T33" s="1">
        <v>50</v>
      </c>
    </row>
    <row r="34" spans="3:20">
      <c r="C34" s="60"/>
      <c r="D34" s="61"/>
      <c r="E34" s="61"/>
      <c r="F34" s="61"/>
      <c r="G34" s="62"/>
      <c r="N34" s="1" t="s">
        <v>91</v>
      </c>
      <c r="O34" s="1">
        <v>5.91</v>
      </c>
      <c r="P34" s="1">
        <v>7.5270000000000001</v>
      </c>
      <c r="Q34" s="1">
        <v>29.4</v>
      </c>
      <c r="R34" s="1">
        <v>6.27</v>
      </c>
      <c r="S34" s="1">
        <f t="shared" si="0"/>
        <v>7.5270000000000001</v>
      </c>
      <c r="T34" s="1">
        <v>65</v>
      </c>
    </row>
    <row r="35" spans="3:20">
      <c r="C35" s="60"/>
      <c r="D35" s="61"/>
      <c r="E35" s="61"/>
      <c r="F35" s="61"/>
      <c r="G35" s="62"/>
      <c r="N35" s="1" t="s">
        <v>92</v>
      </c>
      <c r="O35" s="1">
        <v>9.9600000000000009</v>
      </c>
      <c r="P35" s="1">
        <v>12.69</v>
      </c>
      <c r="Q35" s="1">
        <v>64.400000000000006</v>
      </c>
      <c r="R35" s="1">
        <v>12.1</v>
      </c>
      <c r="S35" s="1">
        <f t="shared" si="0"/>
        <v>12.69</v>
      </c>
      <c r="T35" s="1">
        <v>75</v>
      </c>
    </row>
    <row r="36" spans="3:20">
      <c r="C36" s="60"/>
      <c r="D36" s="61"/>
      <c r="E36" s="61"/>
      <c r="F36" s="61"/>
      <c r="G36" s="62"/>
      <c r="N36" s="1" t="s">
        <v>93</v>
      </c>
      <c r="O36" s="1">
        <v>14.9</v>
      </c>
      <c r="P36" s="1">
        <v>19</v>
      </c>
      <c r="Q36" s="1">
        <v>175</v>
      </c>
      <c r="R36" s="1">
        <v>24.4</v>
      </c>
      <c r="S36" s="1">
        <f t="shared" si="0"/>
        <v>19</v>
      </c>
      <c r="T36" s="1">
        <v>100</v>
      </c>
    </row>
    <row r="37" spans="3:20">
      <c r="C37" s="60"/>
      <c r="D37" s="61"/>
      <c r="E37" s="61"/>
      <c r="F37" s="61"/>
      <c r="G37" s="62"/>
      <c r="N37" s="1" t="s">
        <v>94</v>
      </c>
      <c r="O37" s="1">
        <v>9.36</v>
      </c>
      <c r="P37" s="1">
        <v>11.92</v>
      </c>
      <c r="Q37" s="1">
        <v>189</v>
      </c>
      <c r="R37" s="1">
        <v>37.799999999999997</v>
      </c>
      <c r="S37" s="1">
        <f>250</f>
        <v>250</v>
      </c>
      <c r="T37" s="1">
        <v>100</v>
      </c>
    </row>
    <row r="38" spans="3:20">
      <c r="C38" s="60"/>
      <c r="D38" s="61"/>
      <c r="E38" s="61"/>
      <c r="F38" s="61"/>
      <c r="G38" s="62"/>
      <c r="N38" s="1" t="s">
        <v>95</v>
      </c>
      <c r="O38" s="1">
        <v>13.4</v>
      </c>
      <c r="P38" s="1">
        <v>17.11</v>
      </c>
      <c r="Q38" s="1">
        <v>425</v>
      </c>
      <c r="R38" s="1">
        <v>68</v>
      </c>
      <c r="S38" s="17">
        <v>390</v>
      </c>
      <c r="T38" s="17">
        <v>125</v>
      </c>
    </row>
    <row r="39" spans="3:20">
      <c r="C39" s="60"/>
      <c r="D39" s="61"/>
      <c r="E39" s="61"/>
      <c r="F39" s="61"/>
      <c r="G39" s="62"/>
      <c r="N39" s="1" t="s">
        <v>96</v>
      </c>
      <c r="O39" s="1">
        <v>24</v>
      </c>
      <c r="P39" s="1">
        <v>30.59</v>
      </c>
      <c r="Q39" s="1">
        <v>1050</v>
      </c>
      <c r="R39" s="1">
        <v>140</v>
      </c>
      <c r="S39" s="17">
        <v>675</v>
      </c>
      <c r="T39" s="17">
        <v>150</v>
      </c>
    </row>
    <row r="40" spans="3:20">
      <c r="C40" s="63"/>
      <c r="D40" s="64"/>
      <c r="E40" s="64"/>
      <c r="F40" s="64"/>
      <c r="G40" s="65"/>
      <c r="N40" s="1" t="s">
        <v>97</v>
      </c>
      <c r="O40" s="1">
        <v>30.3</v>
      </c>
      <c r="P40" s="1">
        <v>38.65</v>
      </c>
      <c r="Q40" s="1">
        <v>2490</v>
      </c>
      <c r="R40" s="1">
        <v>249</v>
      </c>
      <c r="S40" s="17">
        <v>720</v>
      </c>
      <c r="T40" s="17">
        <v>200</v>
      </c>
    </row>
    <row r="41" spans="3:20">
      <c r="N41" s="1" t="s">
        <v>98</v>
      </c>
      <c r="O41" s="1">
        <v>17.2</v>
      </c>
      <c r="P41" s="1">
        <v>31.9</v>
      </c>
      <c r="Q41" s="1">
        <v>383</v>
      </c>
      <c r="R41" s="1">
        <v>76.5</v>
      </c>
      <c r="S41" s="17">
        <v>600</v>
      </c>
      <c r="T41" s="17">
        <v>100</v>
      </c>
    </row>
    <row r="42" spans="3:20">
      <c r="N42" s="1" t="s">
        <v>99</v>
      </c>
      <c r="O42" s="1">
        <v>23.8</v>
      </c>
      <c r="P42" s="1">
        <v>30.31</v>
      </c>
      <c r="Q42" s="1">
        <v>847</v>
      </c>
      <c r="R42" s="1">
        <v>136</v>
      </c>
      <c r="S42" s="17">
        <v>812.5</v>
      </c>
      <c r="T42" s="17">
        <v>125</v>
      </c>
    </row>
    <row r="43" spans="3:20">
      <c r="N43" s="1" t="s">
        <v>100</v>
      </c>
      <c r="O43" s="1">
        <v>31.5</v>
      </c>
      <c r="P43" s="1">
        <v>40.14</v>
      </c>
      <c r="Q43" s="1">
        <v>1640</v>
      </c>
      <c r="R43" s="1">
        <v>219</v>
      </c>
      <c r="S43" s="17">
        <v>1050</v>
      </c>
      <c r="T43" s="17">
        <v>150</v>
      </c>
    </row>
    <row r="44" spans="3:20">
      <c r="N44" s="1" t="s">
        <v>101</v>
      </c>
      <c r="O44" s="1">
        <v>49.9</v>
      </c>
      <c r="P44" s="1">
        <v>63.53</v>
      </c>
      <c r="Q44" s="1">
        <v>4720</v>
      </c>
      <c r="R44" s="1">
        <v>472</v>
      </c>
      <c r="S44" s="17">
        <v>1600</v>
      </c>
      <c r="T44" s="17">
        <v>200</v>
      </c>
    </row>
    <row r="45" spans="3:20">
      <c r="N45" s="1" t="s">
        <v>102</v>
      </c>
      <c r="O45" s="1">
        <v>17</v>
      </c>
      <c r="P45" s="1">
        <v>21.63</v>
      </c>
      <c r="Q45" s="1">
        <v>311</v>
      </c>
      <c r="R45" s="1">
        <v>62.3</v>
      </c>
      <c r="S45" s="17">
        <v>600</v>
      </c>
      <c r="T45" s="17">
        <v>100</v>
      </c>
    </row>
    <row r="46" spans="3:20">
      <c r="N46" s="1" t="s">
        <v>103</v>
      </c>
      <c r="O46" s="1">
        <v>21.7</v>
      </c>
      <c r="P46" s="1">
        <v>27.63</v>
      </c>
      <c r="Q46" s="1">
        <v>641</v>
      </c>
      <c r="R46" s="1">
        <v>103</v>
      </c>
      <c r="S46" s="17">
        <v>750</v>
      </c>
      <c r="T46" s="17">
        <v>125</v>
      </c>
    </row>
    <row r="47" spans="3:20">
      <c r="N47" s="1" t="s">
        <v>104</v>
      </c>
      <c r="O47" s="1">
        <v>38.200000000000003</v>
      </c>
      <c r="P47" s="1">
        <v>48.67</v>
      </c>
      <c r="Q47" s="1">
        <v>1580</v>
      </c>
      <c r="R47" s="1">
        <v>210</v>
      </c>
      <c r="S47" s="17">
        <v>1350</v>
      </c>
      <c r="T47" s="17">
        <v>150</v>
      </c>
    </row>
    <row r="48" spans="3:20">
      <c r="N48" s="1" t="s">
        <v>105</v>
      </c>
      <c r="O48" s="1">
        <v>67.900000000000006</v>
      </c>
      <c r="P48" s="1">
        <v>86.53</v>
      </c>
      <c r="Q48" s="1">
        <v>4980</v>
      </c>
      <c r="R48" s="1">
        <v>498</v>
      </c>
      <c r="S48" s="17">
        <v>2400</v>
      </c>
      <c r="T48" s="17">
        <v>200</v>
      </c>
    </row>
    <row r="50" spans="14:19">
      <c r="N50" s="1"/>
      <c r="O50" s="1" t="s">
        <v>71</v>
      </c>
      <c r="P50" s="1" t="s">
        <v>72</v>
      </c>
      <c r="Q50" s="1" t="s">
        <v>73</v>
      </c>
      <c r="R50" s="1" t="s">
        <v>74</v>
      </c>
      <c r="S50" s="1" t="s">
        <v>116</v>
      </c>
    </row>
    <row r="51" spans="14:19">
      <c r="N51" s="1" t="s">
        <v>65</v>
      </c>
      <c r="O51" s="1">
        <v>235</v>
      </c>
      <c r="P51" s="1">
        <f>ROUNDDOWN(O51/1.5,0)</f>
        <v>156</v>
      </c>
      <c r="Q51" s="1">
        <f>ROUNDDOWN(O51/(1.5*SQRT(3)),0)</f>
        <v>90</v>
      </c>
      <c r="R51" s="1"/>
      <c r="S51" s="1">
        <v>205000</v>
      </c>
    </row>
    <row r="52" spans="14:19">
      <c r="N52" s="1" t="s">
        <v>66</v>
      </c>
      <c r="O52" s="1">
        <v>235</v>
      </c>
      <c r="P52" s="1">
        <f t="shared" ref="P52:P56" si="1">ROUNDDOWN(O52/1.5,0)</f>
        <v>156</v>
      </c>
      <c r="Q52" s="1">
        <f t="shared" ref="Q52:Q56" si="2">ROUNDDOWN(O52/(1.5*SQRT(3)),0)</f>
        <v>90</v>
      </c>
      <c r="R52" s="1"/>
      <c r="S52" s="1">
        <v>205000</v>
      </c>
    </row>
    <row r="53" spans="14:19">
      <c r="N53" s="1" t="s">
        <v>67</v>
      </c>
      <c r="O53" s="1">
        <v>235</v>
      </c>
      <c r="P53" s="1">
        <f t="shared" si="1"/>
        <v>156</v>
      </c>
      <c r="Q53" s="1">
        <f t="shared" si="2"/>
        <v>90</v>
      </c>
      <c r="R53" s="1"/>
      <c r="S53" s="1">
        <v>205000</v>
      </c>
    </row>
    <row r="54" spans="14:19">
      <c r="N54" s="1" t="s">
        <v>68</v>
      </c>
      <c r="O54" s="1">
        <v>235</v>
      </c>
      <c r="P54" s="1">
        <f t="shared" si="1"/>
        <v>156</v>
      </c>
      <c r="Q54" s="1">
        <f t="shared" si="2"/>
        <v>90</v>
      </c>
      <c r="R54" s="1"/>
      <c r="S54" s="1">
        <v>205000</v>
      </c>
    </row>
    <row r="55" spans="14:19">
      <c r="N55" s="1" t="s">
        <v>69</v>
      </c>
      <c r="O55" s="1">
        <v>235</v>
      </c>
      <c r="P55" s="1">
        <f t="shared" si="1"/>
        <v>156</v>
      </c>
      <c r="Q55" s="1">
        <f t="shared" si="2"/>
        <v>90</v>
      </c>
      <c r="R55" s="1"/>
      <c r="S55" s="1">
        <v>197000</v>
      </c>
    </row>
    <row r="56" spans="14:19">
      <c r="N56" s="1" t="s">
        <v>70</v>
      </c>
      <c r="O56" s="1">
        <v>235</v>
      </c>
      <c r="P56" s="1">
        <f t="shared" si="1"/>
        <v>156</v>
      </c>
      <c r="Q56" s="1">
        <f t="shared" si="2"/>
        <v>90</v>
      </c>
      <c r="R56" s="1"/>
      <c r="S56" s="1">
        <v>197000</v>
      </c>
    </row>
  </sheetData>
  <mergeCells count="19">
    <mergeCell ref="N7:P7"/>
    <mergeCell ref="C19:C24"/>
    <mergeCell ref="C25:C30"/>
    <mergeCell ref="C31:G40"/>
    <mergeCell ref="C6:D6"/>
    <mergeCell ref="C7:D7"/>
    <mergeCell ref="C8:D8"/>
    <mergeCell ref="C16:D16"/>
    <mergeCell ref="C17:D17"/>
    <mergeCell ref="C18:D18"/>
    <mergeCell ref="C12:D12"/>
    <mergeCell ref="C13:D13"/>
    <mergeCell ref="C15:D15"/>
    <mergeCell ref="C14:D14"/>
    <mergeCell ref="C4:G4"/>
    <mergeCell ref="C5:D5"/>
    <mergeCell ref="C9:D9"/>
    <mergeCell ref="C10:D10"/>
    <mergeCell ref="C11:D11"/>
  </mergeCells>
  <phoneticPr fontId="1"/>
  <dataValidations count="2">
    <dataValidation type="list" allowBlank="1" showInputMessage="1" showErrorMessage="1" sqref="H5:K5 E6:G6" xr:uid="{C4ED842C-A86D-C849-BD6C-037B4C7CA3A9}">
      <formula1>$N$51:$N$56</formula1>
    </dataValidation>
    <dataValidation type="list" allowBlank="1" showInputMessage="1" showErrorMessage="1" sqref="H6:K6 E7:G7" xr:uid="{1BD4B8B3-E295-0A48-87E7-4090EAEDC35E}">
      <formula1>$N$20:$N$48</formula1>
    </dataValidation>
  </dataValidations>
  <pageMargins left="0.78740157480314965" right="0.39370078740157483" top="0.39370078740157483" bottom="0.39370078740157483" header="0" footer="0"/>
  <pageSetup paperSize="9" orientation="portrait" horizontalDpi="0" verticalDpi="0"/>
  <colBreaks count="1" manualBreakCount="1">
    <brk id="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サポートスパンの計算</vt:lpstr>
      <vt:lpstr>サポート強度の計算</vt:lpstr>
      <vt:lpstr>サポートスパンの計算!Print_Area</vt:lpstr>
      <vt:lpstr>サポート強度の計算!Print_Area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2022-06-23T19:37:23Z</dcterms:created>
  <dcterms:modified xsi:type="dcterms:W3CDTF">2022-06-26T20:05:31Z</dcterms:modified>
</cp:coreProperties>
</file>